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i\Downloads\"/>
    </mc:Choice>
  </mc:AlternateContent>
  <xr:revisionPtr revIDLastSave="0" documentId="13_ncr:1_{2AA8B105-4ECD-4395-83EA-DE5DBBF024AD}" xr6:coauthVersionLast="36" xr6:coauthVersionMax="46" xr10:uidLastSave="{00000000-0000-0000-0000-000000000000}"/>
  <workbookProtection workbookAlgorithmName="SHA-512" workbookHashValue="faOlmEGcRx6/8wKzgjUJRZKhqj38QhNQVifoV0k9JIOp1cEjspjzOKUNCESvxknFTqbt3YuXj2ZZDfmBcJUYXQ==" workbookSaltValue="RYjPHZK1pjh4s3vH/9s7Rg==" workbookSpinCount="100000" lockStructure="1"/>
  <bookViews>
    <workbookView xWindow="0" yWindow="0" windowWidth="28800" windowHeight="11775" tabRatio="391" xr2:uid="{00000000-000D-0000-FFFF-FFFF00000000}"/>
  </bookViews>
  <sheets>
    <sheet name="M08 - Skill mix composition" sheetId="6" r:id="rId1"/>
    <sheet name="M09 - Governance and policies" sheetId="2" r:id="rId2"/>
    <sheet name="M10 - Information Systems" sheetId="3" r:id="rId3"/>
    <sheet name="Validation" sheetId="4" state="hidden" r:id="rId4"/>
    <sheet name="Metadata" sheetId="5" state="hidden" r:id="rId5"/>
  </sheets>
  <definedNames>
    <definedName name="__false">Metadata!$C$331</definedName>
    <definedName name="__true">Metadata!$C$330</definedName>
    <definedName name="_a0Tb0vzKk1m">Metadata!$C$111</definedName>
    <definedName name="_aAaUMHvUPv1">Metadata!$C$25</definedName>
    <definedName name="_ACalScnrl2I">Metadata!$C$192</definedName>
    <definedName name="_Adzexk8xbzD">Metadata!$C$327</definedName>
    <definedName name="_AFIorEPU00q">Metadata!$C$113</definedName>
    <definedName name="_AJBfDthkySs">Metadata!$C$102</definedName>
    <definedName name="_AjeCGGb8H76">Metadata!$C$96</definedName>
    <definedName name="_Ajnw1b8m6eL">Metadata!$C$205</definedName>
    <definedName name="_AK5r5VIXYOW">Metadata!$C$42</definedName>
    <definedName name="_aNIrqpwcKXv">Metadata!$C$306</definedName>
    <definedName name="_apVWLKfARpb">Metadata!$C$168</definedName>
    <definedName name="_AUStREIxT4s">Metadata!$C$166</definedName>
    <definedName name="_av3fkpFxEXj">Metadata!$C$318</definedName>
    <definedName name="_AYWCbVecRKQ">Metadata!$C$313</definedName>
    <definedName name="_aZ7Bm5L90rn">Metadata!$C$256</definedName>
    <definedName name="_AZdPnw0b1lm">Metadata!$C$71</definedName>
    <definedName name="_B4iWc3gcDcn">Metadata!$C$215</definedName>
    <definedName name="_B9p76UEP9T6">Metadata!$C$59</definedName>
    <definedName name="_Bc3mYAhlY1a">Metadata!$C$172</definedName>
    <definedName name="_bcy4159FETR">Metadata!$C$199</definedName>
    <definedName name="_bGA2GtwhrC9">Metadata!$C$31</definedName>
    <definedName name="_BGi4lPgaJ07">Metadata!$C$46</definedName>
    <definedName name="_bGWaeVBrOcc">Metadata!$C$99</definedName>
    <definedName name="_bhkJDAiqVKX">Metadata!$C$162</definedName>
    <definedName name="_BlC8wOVHBlb">Metadata!$C$257</definedName>
    <definedName name="_BLpPqpMtgQY">Metadata!$C$147</definedName>
    <definedName name="_BmTVMvJHVBO">Metadata!$C$201</definedName>
    <definedName name="_bnQX2QIuIY9">Metadata!$C$143</definedName>
    <definedName name="_Bon3xyAAWKf">Metadata!$C$209</definedName>
    <definedName name="_buSEeeViTo3">Metadata!$C$326</definedName>
    <definedName name="_bvyjEfI0d2V">Metadata!$C$190</definedName>
    <definedName name="_BVzmce6DVeS">Metadata!$C$156</definedName>
    <definedName name="_c0hyfYTOuUh">Metadata!$C$20</definedName>
    <definedName name="_c82mDnhUQly">Metadata!$C$90</definedName>
    <definedName name="_cCgL3J7Lsgn">Metadata!$C$272</definedName>
    <definedName name="_CCl7hAqlrmE">Metadata!$C$128</definedName>
    <definedName name="_cfBaKMnsXd1">Metadata!$C$231</definedName>
    <definedName name="_cJU4qStc9QT">Metadata!$C$292</definedName>
    <definedName name="_COs48yLdDvg">Metadata!$C$223</definedName>
    <definedName name="_cpmmPDsQ3uG">Metadata!$C$87</definedName>
    <definedName name="_cRWrIpjzvVl">Metadata!$C$160</definedName>
    <definedName name="_cWrL45je7mw">Metadata!$C$72</definedName>
    <definedName name="_cWUu9JeMtg7">Metadata!$C$5</definedName>
    <definedName name="_cZ8823L0fLJ">Metadata!$C$212</definedName>
    <definedName name="_D4JnxOsqwE4">Metadata!$C$193</definedName>
    <definedName name="_DMyxTSpvKOp">Metadata!$C$45</definedName>
    <definedName name="_dNLjKwsVjod">Metadata!$C$79</definedName>
    <definedName name="_dpcvWc01CeN">Metadata!$C$92</definedName>
    <definedName name="_dscgTvwyCw8">Metadata!$C$100</definedName>
    <definedName name="_DVnpk4xiXGJ">Metadata!$C$280</definedName>
    <definedName name="_DzAOqCf0ots">Metadata!$C$84</definedName>
    <definedName name="_E9G2aQpCs1A">Metadata!$C$153</definedName>
    <definedName name="_e9IoKRAkYLO">Metadata!$C$75</definedName>
    <definedName name="_EB4aSZN0eQr">Metadata!$C$208</definedName>
    <definedName name="_EDHO4qOyY88">Metadata!$C$127</definedName>
    <definedName name="_EGLpIMSAWhx">Metadata!$C$148</definedName>
    <definedName name="_ehNfKt5LpG9">Metadata!$C$178</definedName>
    <definedName name="_ElwEWppmGgv">Metadata!$C$180</definedName>
    <definedName name="_er7MPiN3tdH">Metadata!$C$281</definedName>
    <definedName name="_EubjsxqlA4d">Metadata!$C$203</definedName>
    <definedName name="_EVairjAiRv6">Metadata!$C$18</definedName>
    <definedName name="_eVEK7djdWqV">Metadata!$C$298</definedName>
    <definedName name="_eVp1pvRfPKS">Metadata!$C$319</definedName>
    <definedName name="_EWJZZN7T9IW">Metadata!$C$4</definedName>
    <definedName name="_eyvitcZL4ex">Metadata!$C$157</definedName>
    <definedName name="_f4ZFD2aswys">Metadata!$C$69</definedName>
    <definedName name="_f87mpByuPub">Metadata!$C$32</definedName>
    <definedName name="_false">Metadata!$C$329</definedName>
    <definedName name="_fg8TSIHSGHX">Metadata!$C$150</definedName>
    <definedName name="_fHaKXfcKthe">Metadata!$C$242</definedName>
    <definedName name="_fHXW26zg2U6">Metadata!$C$176</definedName>
    <definedName name="_Fi5lLVwe1Th">Metadata!$C$135</definedName>
    <definedName name="_fIlPGTXBCUm">Metadata!$C$324</definedName>
    <definedName name="_fkrzFaeuYDn">Metadata!$C$317</definedName>
    <definedName name="_FNduj2N3e8s">Metadata!$C$264</definedName>
    <definedName name="_FOJUXD6f6lB">Metadata!$C$202</definedName>
    <definedName name="_Fq9qs6Kn6wN">Metadata!$C$154</definedName>
    <definedName name="_FUieyovDec8">Metadata!$C$275</definedName>
    <definedName name="_FvQ6WiqHbmo">Metadata!$C$19</definedName>
    <definedName name="_fxBC5D01Iem">Metadata!$C$23</definedName>
    <definedName name="_fYeClLy8K2x">Metadata!$C$296</definedName>
    <definedName name="_FZYvE3Jdf8L">Metadata!$C$13</definedName>
    <definedName name="_G037PAPU5dO">Metadata!$C$200</definedName>
    <definedName name="_G3thRWUQAX9">Metadata!$C$138</definedName>
    <definedName name="_g49fuSiB623">Metadata!$C$171</definedName>
    <definedName name="_G8FCnT37gyb">Metadata!$C$234</definedName>
    <definedName name="_G9o5ad4oJJX">Metadata!$C$165</definedName>
    <definedName name="_Gan3VYicAWe">Metadata!$C$217</definedName>
    <definedName name="_gb7vWtO7Wjp">Metadata!$C$325</definedName>
    <definedName name="_gg9DH7dvdeD">Metadata!$C$159</definedName>
    <definedName name="_gMz0MxjZcEt">Metadata!$C$196</definedName>
    <definedName name="_Gnz4lqrVEMf">Metadata!$C$307</definedName>
    <definedName name="_GPyOOoIby8R">Metadata!$C$255</definedName>
    <definedName name="_GrU8zQv510v">Metadata!$C$301</definedName>
    <definedName name="_Gvox4WmLiYC">Metadata!$C$310</definedName>
    <definedName name="_GWQBgBHdbbp">Metadata!$C$184</definedName>
    <definedName name="_gxi9jcBYyrL">Metadata!$C$191</definedName>
    <definedName name="_HDN85xUGB65">Metadata!$C$288</definedName>
    <definedName name="_HfVjCurKxh2">Metadata!$C$186</definedName>
    <definedName name="_hG1CNbw8wSF">Metadata!$C$225</definedName>
    <definedName name="_hgGOTFYZxMO">Metadata!$C$152</definedName>
    <definedName name="_HgQ76w0VONy">Metadata!$C$41</definedName>
    <definedName name="_HizhPCC5Ps5">Metadata!$C$268</definedName>
    <definedName name="_hmZE3mVAZFf">Metadata!$C$97</definedName>
    <definedName name="_hpXoMVtJpT3">Metadata!$C$262</definedName>
    <definedName name="_hR7B1ITcCMe">Metadata!$C$16</definedName>
    <definedName name="_HwqfuL9pQz5">Metadata!$C$299</definedName>
    <definedName name="_HX7fBSMCCbL">Metadata!$C$323</definedName>
    <definedName name="_HYEuE8zV74t">Metadata!$C$260</definedName>
    <definedName name="_I3NxIqG7bD4">Metadata!$C$228</definedName>
    <definedName name="_i3v8r9XNls2">Metadata!$C$251</definedName>
    <definedName name="_I93t0K7b1oN">Metadata!$C$49</definedName>
    <definedName name="_IbGbsybdeou">Metadata!$C$247</definedName>
    <definedName name="_ibGsqmiVkoU">Metadata!$C$185</definedName>
    <definedName name="_IFAb1JUZ0Fz">Metadata!$C$286</definedName>
    <definedName name="_iFaKKDtb7nf">Metadata!$C$236</definedName>
    <definedName name="_IidAimBSgEf">Metadata!$C$38</definedName>
    <definedName name="_IjLnDADGraQ">Metadata!$C$283</definedName>
    <definedName name="_iNT35p3jsEM">Metadata!$C$80</definedName>
    <definedName name="_ipe4pT2TW7G">Metadata!$C$167</definedName>
    <definedName name="_IZSm5iPKkDg">Metadata!$C$213</definedName>
    <definedName name="_IZy3ESdFnp5">Metadata!$C$158</definedName>
    <definedName name="_jCtFxm8aADJ">Metadata!$C$246</definedName>
    <definedName name="_JEHwU064LAj">Metadata!$C$194</definedName>
    <definedName name="_jFOZHDZpjPL">Metadata!$C$68</definedName>
    <definedName name="_JI5lagoUJR4">Metadata!$C$182</definedName>
    <definedName name="_jieOOtItEQg">Metadata!$C$37</definedName>
    <definedName name="_JIr15Xt3EQn">Metadata!$C$133</definedName>
    <definedName name="_jkyBvNzcTLl">Metadata!$C$284</definedName>
    <definedName name="_jlJcFRt3mmg">Metadata!$C$35</definedName>
    <definedName name="_jMGr96nGwHN">Metadata!$C$224</definedName>
    <definedName name="_JQ5qF3mRCMe">Metadata!$C$86</definedName>
    <definedName name="_juBxu3AprlM">Metadata!$C$321</definedName>
    <definedName name="_jVqoXv7rFns">Metadata!$C$174</definedName>
    <definedName name="_JX7HJfPfbog">Metadata!$C$214</definedName>
    <definedName name="_jXQq22U4Y2e">Metadata!$C$114</definedName>
    <definedName name="_jZOt27rWre8">Metadata!$C$169</definedName>
    <definedName name="_JzvGfLYkX17">Metadata!$C$44</definedName>
    <definedName name="_KAUSOoBq5Ft">Metadata!$C$210</definedName>
    <definedName name="_KKBsggVfCTv">Metadata!$C$60</definedName>
    <definedName name="_KOUhvjWIy6V">Metadata!$C$312</definedName>
    <definedName name="_kpFgAwwSjCZ">Metadata!$C$315</definedName>
    <definedName name="_KqaTbKanCG3">Metadata!$C$229</definedName>
    <definedName name="_KrU8C1YTdao">Metadata!$C$320</definedName>
    <definedName name="_KwgjnBBpe5b">Metadata!$C$82</definedName>
    <definedName name="_KyFesytPvpt">Metadata!$C$61</definedName>
    <definedName name="_LAPR4Iu2NVS">Metadata!$C$132</definedName>
    <definedName name="_lbMrRSBsXh3">Metadata!$C$119</definedName>
    <definedName name="_LbWpsX1FJcC">Metadata!$C$74</definedName>
    <definedName name="_lGN2n7pZ6Ua">Metadata!$C$110</definedName>
    <definedName name="_lKZR6UK0afN">Metadata!$C$73</definedName>
    <definedName name="_lnvESj20mWZ">Metadata!$C$211</definedName>
    <definedName name="_LTLHCOHyyWS">Metadata!$C$253</definedName>
    <definedName name="_lVPoUAKCdmU">Metadata!$C$277</definedName>
    <definedName name="_LW954y3FqL8">Metadata!$C$11</definedName>
    <definedName name="_M9HrCkIwaKy">Metadata!$C$302</definedName>
    <definedName name="_Mb9IYOFZYCv">Metadata!$C$122</definedName>
    <definedName name="_mDSuyD9lOM5">Metadata!$C$170</definedName>
    <definedName name="_mhWSEv79IJW">Metadata!$C$279</definedName>
    <definedName name="_MJEntShoQVK">Metadata!$C$95</definedName>
    <definedName name="_Mk7P920hkBa">Metadata!$C$134</definedName>
    <definedName name="_mmJUi0PpvGi">Metadata!$C$198</definedName>
    <definedName name="_mNa42CHbkO7">Metadata!$C$65</definedName>
    <definedName name="_mwwpy9cyOGy">Metadata!$C$26</definedName>
    <definedName name="_myv7amOYTHn">Metadata!$C$108</definedName>
    <definedName name="_n8iofJiiX4T">Metadata!$C$89</definedName>
    <definedName name="_N9i1v07Ro0E">Metadata!$C$250</definedName>
    <definedName name="_ngUSWwX0Oby">Metadata!$C$141</definedName>
    <definedName name="_NhuW760cOQG">Metadata!$C$124</definedName>
    <definedName name="_Nlv8oKkoAwp">Metadata!$C$187</definedName>
    <definedName name="_Nrnay4JA8Ga">Metadata!$C$83</definedName>
    <definedName name="_NUkOvK4bnj2">Metadata!$C$163</definedName>
    <definedName name="_O0hWoXlHhIS">Metadata!$C$227</definedName>
    <definedName name="_O7BGyJhV2Tc">Metadata!$C$230</definedName>
    <definedName name="_OFXJXWnOG0R">Metadata!$C$126</definedName>
    <definedName name="_oLpoOT6tO7g">Metadata!$C$28</definedName>
    <definedName name="_oofyLUJJ6Vy">Metadata!$C$63</definedName>
    <definedName name="_oroMC4mMzMq">Metadata!$C$267</definedName>
    <definedName name="_oWNF4d3PK8C">Metadata!$C$276</definedName>
    <definedName name="_oy494aJtjTB">Metadata!$C$233</definedName>
    <definedName name="_p5z7F51v1ag">Metadata!$C$48</definedName>
    <definedName name="_pbH6bmcioGw">Metadata!$C$118</definedName>
    <definedName name="_PBUMZvqh0r2">Metadata!$C$40</definedName>
    <definedName name="_PevCwH17M73">Metadata!$C$244</definedName>
    <definedName name="_PFAtPR87fHs">Metadata!$C$93</definedName>
    <definedName name="_pfhvgmllA9M">Metadata!$C$70</definedName>
    <definedName name="_pGLy2Zj2lVg">Metadata!$C$291</definedName>
    <definedName name="_PJS910L8KtX">Metadata!$C$314</definedName>
    <definedName name="_pMukkUmnnkh">Metadata!$C$297</definedName>
    <definedName name="_PpjdOoVUc7k">Metadata!$C$131</definedName>
    <definedName name="_PRrdILmQQb3">Metadata!$C$140</definedName>
    <definedName name="_PvrMV4NjbtR">Metadata!$C$322</definedName>
    <definedName name="_PY4aKgi30fr">Metadata!$C$274</definedName>
    <definedName name="_Pz0LCggcqES">Metadata!$C$220</definedName>
    <definedName name="_pZZriU4sY0l">Metadata!$C$221</definedName>
    <definedName name="_q23bFLr2E5D">Metadata!$C$107</definedName>
    <definedName name="_q2HqXV5OO3z">Metadata!$C$287</definedName>
    <definedName name="_q8CUMlpFLtJ">Metadata!$C$21</definedName>
    <definedName name="_Q8De2VxoKXS">Metadata!$C$309</definedName>
    <definedName name="_q9u7nkNkuGy">Metadata!$C$161</definedName>
    <definedName name="_qbqrFLCJewu">Metadata!$C$270</definedName>
    <definedName name="_qFGgohqJuy0">Metadata!$C$47</definedName>
    <definedName name="_QkOClVdLto1">Metadata!$C$241</definedName>
    <definedName name="_QLERXr2o7IE">Metadata!$C$146</definedName>
    <definedName name="_qNxAIa6jvmm">Metadata!$C$30</definedName>
    <definedName name="_QqAzWHtJ8VC">Metadata!$C$282</definedName>
    <definedName name="_QSpLidCdqMU">Metadata!$C$121</definedName>
    <definedName name="_quQpOfBIDFC">Metadata!$C$164</definedName>
    <definedName name="_QuUK6IgR9oZ">Metadata!$C$15</definedName>
    <definedName name="_R6JXOAVTsay">Metadata!$C$14</definedName>
    <definedName name="_rb6V38jgfFc">Metadata!$C$271</definedName>
    <definedName name="_RDiXMdNXg16">Metadata!$C$273</definedName>
    <definedName name="_rEQqufy2KNi">Metadata!$C$222</definedName>
    <definedName name="_RHokurJAbjS">Metadata!$C$36</definedName>
    <definedName name="_Ri2tb7LBVtP">Metadata!$C$151</definedName>
    <definedName name="_risbLwkLwW5">Metadata!$C$7</definedName>
    <definedName name="_RM1vy8bSPE8">Metadata!$C$12</definedName>
    <definedName name="_Rmy6DbwekE1">Metadata!$C$67</definedName>
    <definedName name="_ROVoulCcT0j">Metadata!$C$34</definedName>
    <definedName name="_RTdjvXHJdnH">Metadata!$C$115</definedName>
    <definedName name="_rtLnlu4GUI2">Metadata!$C$219</definedName>
    <definedName name="_RyAd6laKg3U">Metadata!$C$258</definedName>
    <definedName name="_rYm7I91K6Je">Metadata!$C$24</definedName>
    <definedName name="_s1mzBU7YOaZ">Metadata!$C$130</definedName>
    <definedName name="_S52uSY3lb8V">Metadata!$C$311</definedName>
    <definedName name="_SAsS1Kwc4iW">Metadata!$C$263</definedName>
    <definedName name="_sg5v6c9tCZ3">Metadata!$C$91</definedName>
    <definedName name="_shRXArPWh8H">Metadata!$C$116</definedName>
    <definedName name="_SIWjelxSF5N">Metadata!$C$62</definedName>
    <definedName name="_sNmNyudrFxw">Metadata!$C$43</definedName>
    <definedName name="_SnYHrnchKjL">Metadata!$C$304</definedName>
    <definedName name="_SsAjVE1S87E">Metadata!$C$175</definedName>
    <definedName name="_sSIYRwB1r74">Metadata!$C$142</definedName>
    <definedName name="_ST86paYjRHP">Metadata!$C$76</definedName>
    <definedName name="_T1irZBQ9gNW">Metadata!$C$197</definedName>
    <definedName name="_T7tKHiW1Db1">Metadata!$C$78</definedName>
    <definedName name="_tASpRJWiyvN">Metadata!$C$8</definedName>
    <definedName name="_tDFavWinSwr">Metadata!$C$189</definedName>
    <definedName name="_tdwemEgGckz">Metadata!$C$17</definedName>
    <definedName name="_TIhakAVsQwM">Metadata!$C$204</definedName>
    <definedName name="_tKr3k3lbnJJ">Metadata!$C$22</definedName>
    <definedName name="_TldYkeCwb5r">Metadata!$C$117</definedName>
    <definedName name="_tnTRnfd2aVs">Metadata!$C$188</definedName>
    <definedName name="_TpDwlm2Spev">Metadata!$C$308</definedName>
    <definedName name="_Tr4i6jeDDqj">Metadata!$C$81</definedName>
    <definedName name="_true">Metadata!$C$328</definedName>
    <definedName name="_tSBEjAHKj9V">Metadata!$C$259</definedName>
    <definedName name="_tV0rWhHr9cj">Metadata!$C$105</definedName>
    <definedName name="_TWyMjVaaxmT">Metadata!$C$285</definedName>
    <definedName name="_u3GOCB1Hu01">Metadata!$C$103</definedName>
    <definedName name="_u6F6nBWeomT">Metadata!$C$27</definedName>
    <definedName name="_u7H4MyT2Y0A">Metadata!$C$94</definedName>
    <definedName name="_UJVEh0g7qOo">Metadata!$C$145</definedName>
    <definedName name="_UlQiEogy3wG">Metadata!$C$252</definedName>
    <definedName name="_uvTw0Kus5KZ">Metadata!$C$177</definedName>
    <definedName name="_v2B5AtYQV8H">Metadata!$C$206</definedName>
    <definedName name="_VbA9JYedRlP">Metadata!$C$9</definedName>
    <definedName name="_VbbSe7wgS9s">Metadata!$C$77</definedName>
    <definedName name="_vboedbUs1As">Metadata!$C$290</definedName>
    <definedName name="_vg4b11FL2Gl">Metadata!$C$300</definedName>
    <definedName name="_VGOzFKfSazN">Metadata!$C$64</definedName>
    <definedName name="_VJrTuNXAg9G">Metadata!$C$305</definedName>
    <definedName name="_vkXlj7ZPkGi">Metadata!$C$240</definedName>
    <definedName name="_VMqDEughMuP">Metadata!$C$294</definedName>
    <definedName name="_vnbnnSZXGTv">Metadata!$C$136</definedName>
    <definedName name="_VnTycSnraEY">Metadata!$C$144</definedName>
    <definedName name="_VPesUmegQpP">Metadata!$C$101</definedName>
    <definedName name="_vPoFz9J1v6Y">Metadata!$C$232</definedName>
    <definedName name="_VwqhqUCaMgk">Metadata!$C$254</definedName>
    <definedName name="_VYVKdqiXo4b">Metadata!$C$66</definedName>
    <definedName name="_w3IJVQhc8Rm">Metadata!$C$245</definedName>
    <definedName name="_w8SWd1reRm8">Metadata!$C$33</definedName>
    <definedName name="_WApLDd37Yj2">Metadata!$C$173</definedName>
    <definedName name="_WC5rU5fLMzY">Metadata!$C$155</definedName>
    <definedName name="_wDaqByzsz7p">Metadata!$C$39</definedName>
    <definedName name="_wFkq5oB0dFS">Metadata!$C$303</definedName>
    <definedName name="_wimH12ukPK5">Metadata!$C$269</definedName>
    <definedName name="_wj7iV08dvFq">Metadata!$C$266</definedName>
    <definedName name="_wMTP4GblKr8">Metadata!$C$243</definedName>
    <definedName name="_wnuoeS9sVZR">Metadata!$C$226</definedName>
    <definedName name="_Wpzccx0vjIP">Metadata!$C$239</definedName>
    <definedName name="_WtcZBCTspgM">Metadata!$C$293</definedName>
    <definedName name="_wUBWZEHJm6Q">Metadata!$C$237</definedName>
    <definedName name="_WuQvgvXKamv">Metadata!$C$216</definedName>
    <definedName name="_WXGcnQWJ0Qd">Metadata!$C$125</definedName>
    <definedName name="_wyKC2eWRH3y">Metadata!$C$88</definedName>
    <definedName name="_x6DVvicRjYC">Metadata!$C$181</definedName>
    <definedName name="_xb2ezJcUoSR">Metadata!$C$289</definedName>
    <definedName name="_xB6nQN5Wtpg">Metadata!$C$265</definedName>
    <definedName name="_XebDUbuPqVx">Metadata!$C$179</definedName>
    <definedName name="_XEj0ILIlbWO">Metadata!$C$10</definedName>
    <definedName name="_XeWqwCw9G5s">Metadata!$C$137</definedName>
    <definedName name="_Xgr3PJxcWfJ">Metadata!$C$51</definedName>
    <definedName name="_XjHXb0aFH5w">Metadata!$C$112</definedName>
    <definedName name="_XJscL6IuHpd">Metadata!$C$183</definedName>
    <definedName name="_XKKI1hhyFxk">Metadata!$C$123</definedName>
    <definedName name="_xqjIL1cGrl1">Metadata!$C$316</definedName>
    <definedName name="_Xr12mI7VPn3">Metadata!$C$50</definedName>
    <definedName name="_xtrKmZJKljq">Metadata!$C$3</definedName>
    <definedName name="_XYpsN5j30R9">Metadata!$C$207</definedName>
    <definedName name="_Xz7rnovuiOx">Metadata!$C$98</definedName>
    <definedName name="_y582ESg0Vjo">Metadata!$C$109</definedName>
    <definedName name="_Y7EAGQA1bfv">Metadata!$C$52</definedName>
    <definedName name="_Y7fcspgsU43">Metadata!$C$58</definedName>
    <definedName name="_yBqy4nxuOCA">Metadata!$C$248</definedName>
    <definedName name="_Yg9QkNQk9p7">Metadata!$C$129</definedName>
    <definedName name="_YOL13ptz4ef">Metadata!$C$218</definedName>
    <definedName name="_yqQBUxeuga4">Metadata!$C$29</definedName>
    <definedName name="_yzAMOdV0Pmr">Metadata!$C$235</definedName>
    <definedName name="_z51rgcc5R8V">Metadata!$C$149</definedName>
    <definedName name="_z5ouOuycTPO">Metadata!$C$278</definedName>
    <definedName name="_zaluKz5Llai">Metadata!$C$195</definedName>
    <definedName name="_Zav7juzGmEo">Metadata!$C$238</definedName>
    <definedName name="_ZcrjvJaYQb7">Metadata!$C$104</definedName>
    <definedName name="_Zdl3ad7PayF">Metadata!$C$120</definedName>
    <definedName name="_zEYrsiNUGIo">Metadata!$C$139</definedName>
    <definedName name="_zFInPJBZVbN">Metadata!$C$106</definedName>
    <definedName name="_ZgsdoEiTlLq">Metadata!$C$261</definedName>
    <definedName name="_zozZbvSo4Bz">Metadata!$C$6</definedName>
    <definedName name="_ZRxKEGQmkWI">Metadata!$C$249</definedName>
    <definedName name="_zYQqFxQw5jj">Metadata!$C$295</definedName>
    <definedName name="_ZzoDfdWIt6z">Metadata!$C$85</definedName>
  </definedNames>
  <calcPr calcId="191029"/>
</workbook>
</file>

<file path=xl/calcChain.xml><?xml version="1.0" encoding="utf-8"?>
<calcChain xmlns="http://schemas.openxmlformats.org/spreadsheetml/2006/main">
  <c r="I4" i="3" l="1"/>
  <c r="C4" i="3"/>
  <c r="I4" i="2"/>
  <c r="C4" i="2"/>
  <c r="AC269" i="6"/>
  <c r="AC268" i="6"/>
  <c r="AC267" i="6"/>
  <c r="AC266" i="6"/>
  <c r="AC265" i="6"/>
  <c r="AC264" i="6"/>
  <c r="AC263" i="6"/>
  <c r="AC262" i="6"/>
  <c r="AC261" i="6"/>
  <c r="AC260" i="6"/>
  <c r="AC259" i="6"/>
  <c r="AC258" i="6"/>
  <c r="AC257" i="6"/>
  <c r="AC256" i="6"/>
  <c r="AC255" i="6"/>
  <c r="AC254" i="6"/>
  <c r="AC253" i="6"/>
  <c r="AC252" i="6"/>
  <c r="AC251" i="6"/>
  <c r="AC250" i="6"/>
  <c r="AC249" i="6"/>
  <c r="AC248" i="6"/>
  <c r="AC247" i="6"/>
  <c r="AC246" i="6"/>
  <c r="AC245" i="6"/>
  <c r="AC244" i="6"/>
  <c r="AC243" i="6"/>
  <c r="AC242" i="6"/>
  <c r="AC241" i="6"/>
  <c r="AC240" i="6"/>
  <c r="AC239" i="6"/>
  <c r="AC238" i="6"/>
  <c r="AC237" i="6"/>
  <c r="AC236" i="6"/>
  <c r="AC235" i="6"/>
  <c r="AC234" i="6"/>
  <c r="AC233" i="6"/>
  <c r="AC232" i="6"/>
  <c r="AC231" i="6"/>
  <c r="AC230" i="6"/>
  <c r="AC229" i="6"/>
  <c r="AC228" i="6"/>
  <c r="AC227" i="6"/>
  <c r="AC226" i="6"/>
  <c r="AC225" i="6"/>
  <c r="AC224" i="6"/>
  <c r="AC223" i="6"/>
  <c r="AC222" i="6"/>
  <c r="AC221" i="6"/>
  <c r="AC220" i="6"/>
  <c r="AC219" i="6"/>
  <c r="AC218" i="6"/>
  <c r="AC217" i="6"/>
  <c r="AC216" i="6"/>
  <c r="AC215" i="6"/>
  <c r="AC214" i="6"/>
  <c r="AC213" i="6"/>
  <c r="AC212" i="6"/>
  <c r="AC211" i="6"/>
  <c r="AC210" i="6"/>
  <c r="AC209" i="6"/>
  <c r="AC208" i="6"/>
  <c r="AC207" i="6"/>
  <c r="AC206" i="6"/>
  <c r="AC205" i="6"/>
  <c r="AC204" i="6"/>
  <c r="AC203" i="6"/>
  <c r="AC202" i="6"/>
  <c r="AC201" i="6"/>
  <c r="AC200" i="6"/>
  <c r="AC199" i="6"/>
  <c r="AC198" i="6"/>
  <c r="AC197" i="6"/>
  <c r="AC196" i="6"/>
  <c r="AC195" i="6"/>
  <c r="AC194" i="6"/>
  <c r="AC193" i="6"/>
  <c r="AC192" i="6"/>
  <c r="AC191" i="6"/>
  <c r="AC190" i="6"/>
  <c r="AC189" i="6"/>
  <c r="AC188" i="6"/>
  <c r="AC187" i="6"/>
  <c r="AC186" i="6"/>
  <c r="AC185" i="6"/>
  <c r="AC184" i="6"/>
  <c r="AC183" i="6"/>
  <c r="AC182" i="6"/>
  <c r="AC181" i="6"/>
  <c r="AC180" i="6"/>
  <c r="AC179" i="6"/>
  <c r="AC178" i="6"/>
  <c r="AC177" i="6"/>
  <c r="AC176" i="6"/>
  <c r="AC175" i="6"/>
  <c r="AC174" i="6"/>
  <c r="AC173" i="6"/>
  <c r="AC172" i="6"/>
  <c r="AC171" i="6"/>
  <c r="AC170" i="6"/>
  <c r="AC169" i="6"/>
  <c r="AC168" i="6"/>
  <c r="AC167" i="6"/>
  <c r="AC166" i="6"/>
  <c r="AC165" i="6"/>
  <c r="AC164" i="6"/>
  <c r="AC163" i="6"/>
  <c r="AC162" i="6"/>
  <c r="AC161" i="6"/>
  <c r="AC160" i="6"/>
  <c r="AC159" i="6"/>
  <c r="AC158" i="6"/>
  <c r="AC157" i="6"/>
  <c r="AC156" i="6"/>
  <c r="AC155" i="6"/>
  <c r="AC154" i="6"/>
  <c r="AC153" i="6"/>
  <c r="AC152" i="6"/>
  <c r="AC151" i="6"/>
  <c r="AC150" i="6"/>
  <c r="AC149" i="6"/>
  <c r="AC148" i="6"/>
  <c r="AC147" i="6"/>
  <c r="AC146" i="6"/>
  <c r="AC145" i="6"/>
  <c r="AC144" i="6"/>
  <c r="AC143" i="6"/>
  <c r="AC142" i="6"/>
  <c r="AC141" i="6"/>
  <c r="AC140" i="6"/>
  <c r="AC139" i="6"/>
  <c r="AC138" i="6"/>
  <c r="AC137" i="6"/>
  <c r="AC136" i="6"/>
  <c r="AC135" i="6"/>
  <c r="AC134" i="6"/>
  <c r="AC133" i="6"/>
  <c r="AC132" i="6"/>
  <c r="AC131" i="6"/>
  <c r="AC130" i="6"/>
  <c r="AC129" i="6"/>
  <c r="AC128" i="6"/>
  <c r="AC127" i="6"/>
  <c r="AC126" i="6"/>
  <c r="AC125" i="6"/>
  <c r="AC124" i="6"/>
  <c r="AC123" i="6"/>
  <c r="AC122" i="6"/>
  <c r="AC121" i="6"/>
  <c r="AC120" i="6"/>
  <c r="AC119" i="6"/>
  <c r="AC118" i="6"/>
  <c r="AC117" i="6"/>
  <c r="AC116" i="6"/>
  <c r="AC115" i="6"/>
  <c r="AC114" i="6"/>
  <c r="AC113" i="6"/>
  <c r="AC112" i="6"/>
  <c r="AC111" i="6"/>
  <c r="AC110" i="6"/>
  <c r="AC109" i="6"/>
  <c r="AC108" i="6"/>
  <c r="AC107" i="6"/>
  <c r="AC106" i="6"/>
  <c r="AC105" i="6"/>
  <c r="AC104" i="6"/>
  <c r="AC103" i="6"/>
  <c r="AC102" i="6"/>
  <c r="AC101" i="6"/>
  <c r="AC100" i="6"/>
  <c r="AC99" i="6"/>
  <c r="AC98" i="6"/>
  <c r="AC97" i="6"/>
  <c r="AC96" i="6"/>
  <c r="AC95" i="6"/>
  <c r="AC94" i="6"/>
  <c r="AC93" i="6"/>
  <c r="AC92" i="6"/>
  <c r="AC91" i="6"/>
  <c r="AC90" i="6"/>
  <c r="AC89" i="6"/>
  <c r="AC88" i="6"/>
  <c r="AC87" i="6"/>
  <c r="AC86" i="6"/>
  <c r="AC85" i="6"/>
  <c r="AC84" i="6"/>
  <c r="AC83" i="6"/>
  <c r="AC82" i="6"/>
  <c r="AC81" i="6"/>
  <c r="AC80" i="6"/>
  <c r="AC79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O44" i="6"/>
  <c r="O43" i="6" s="1"/>
  <c r="O42" i="6" s="1"/>
  <c r="O41" i="6" s="1"/>
  <c r="O40" i="6" s="1"/>
  <c r="O39" i="6" s="1"/>
  <c r="O38" i="6" s="1"/>
  <c r="O37" i="6" s="1"/>
  <c r="O36" i="6" s="1"/>
  <c r="O35" i="6" s="1"/>
  <c r="O34" i="6" s="1"/>
  <c r="O33" i="6" s="1"/>
  <c r="O32" i="6" s="1"/>
  <c r="O31" i="6" s="1"/>
  <c r="O30" i="6" s="1"/>
  <c r="O29" i="6" s="1"/>
  <c r="O28" i="6" s="1"/>
  <c r="O27" i="6" s="1"/>
  <c r="O26" i="6" s="1"/>
  <c r="O25" i="6" s="1"/>
  <c r="AC43" i="6"/>
  <c r="AC42" i="6"/>
  <c r="AC41" i="6"/>
  <c r="AC40" i="6"/>
  <c r="AC39" i="6"/>
  <c r="AD39" i="6" s="1"/>
  <c r="AC38" i="6"/>
  <c r="AC37" i="6"/>
  <c r="AC36" i="6"/>
  <c r="AC35" i="6"/>
  <c r="AC34" i="6"/>
  <c r="AC33" i="6"/>
  <c r="AC32" i="6"/>
  <c r="AC31" i="6"/>
  <c r="AC30" i="6"/>
  <c r="AC29" i="6"/>
  <c r="AD29" i="6" s="1"/>
  <c r="AC28" i="6"/>
  <c r="AC27" i="6"/>
  <c r="AC26" i="6"/>
  <c r="AC25" i="6"/>
  <c r="AC24" i="6"/>
  <c r="AD24" i="6" s="1"/>
  <c r="AD23" i="6"/>
  <c r="AC23" i="6"/>
  <c r="AC22" i="6"/>
  <c r="AC21" i="6"/>
  <c r="AC20" i="6"/>
  <c r="AC16" i="6"/>
  <c r="AD16" i="6" s="1"/>
  <c r="AC15" i="6"/>
  <c r="V15" i="6"/>
  <c r="AC14" i="6"/>
  <c r="AC13" i="6"/>
  <c r="W13" i="6"/>
  <c r="V13" i="6"/>
  <c r="U13" i="6"/>
  <c r="AC12" i="6"/>
  <c r="AC11" i="6"/>
  <c r="AC10" i="6"/>
  <c r="AC9" i="6"/>
  <c r="AD21" i="6" s="1"/>
  <c r="AD8" i="6"/>
  <c r="AC8" i="6"/>
  <c r="AC7" i="6"/>
  <c r="AD6" i="6"/>
  <c r="AC6" i="6"/>
  <c r="AC5" i="6"/>
  <c r="AD5" i="6" s="1"/>
  <c r="AC4" i="6"/>
  <c r="F4" i="6"/>
  <c r="F4" i="3" s="1"/>
  <c r="AD3" i="6"/>
  <c r="AC3" i="6"/>
  <c r="AD125" i="6" s="1"/>
  <c r="AD2" i="6"/>
  <c r="AC2" i="6"/>
  <c r="W26" i="6"/>
  <c r="V26" i="6"/>
  <c r="F4" i="2" l="1"/>
  <c r="AD50" i="6"/>
  <c r="AD75" i="6"/>
  <c r="AD82" i="6"/>
  <c r="AD107" i="6"/>
  <c r="AD114" i="6"/>
  <c r="AD139" i="6"/>
  <c r="AD146" i="6"/>
  <c r="AD166" i="6"/>
  <c r="AD174" i="6"/>
  <c r="AD182" i="6"/>
  <c r="AD190" i="6"/>
  <c r="AD198" i="6"/>
  <c r="AD206" i="6"/>
  <c r="AD214" i="6"/>
  <c r="AD222" i="6"/>
  <c r="AD230" i="6"/>
  <c r="AD238" i="6"/>
  <c r="AD246" i="6"/>
  <c r="AD254" i="6"/>
  <c r="AD262" i="6"/>
  <c r="AD20" i="6"/>
  <c r="AD25" i="6"/>
  <c r="AD35" i="6"/>
  <c r="AD51" i="6"/>
  <c r="AD58" i="6"/>
  <c r="AD83" i="6"/>
  <c r="AD90" i="6"/>
  <c r="AD115" i="6"/>
  <c r="AD122" i="6"/>
  <c r="AD147" i="6"/>
  <c r="AD154" i="6"/>
  <c r="AD168" i="6"/>
  <c r="AD176" i="6"/>
  <c r="AD184" i="6"/>
  <c r="AD192" i="6"/>
  <c r="AD200" i="6"/>
  <c r="AD208" i="6"/>
  <c r="AD216" i="6"/>
  <c r="AD70" i="6"/>
  <c r="AD128" i="6"/>
  <c r="AD78" i="6"/>
  <c r="AD104" i="6"/>
  <c r="AD110" i="6"/>
  <c r="AD129" i="6"/>
  <c r="AD136" i="6"/>
  <c r="AD142" i="6"/>
  <c r="AD148" i="6"/>
  <c r="AD161" i="6"/>
  <c r="AD169" i="6"/>
  <c r="AD177" i="6"/>
  <c r="AD185" i="6"/>
  <c r="AD193" i="6"/>
  <c r="AD201" i="6"/>
  <c r="AD209" i="6"/>
  <c r="AD217" i="6"/>
  <c r="AD225" i="6"/>
  <c r="AD233" i="6"/>
  <c r="AD241" i="6"/>
  <c r="AD249" i="6"/>
  <c r="AD257" i="6"/>
  <c r="AD265" i="6"/>
  <c r="AD64" i="6"/>
  <c r="AD96" i="6"/>
  <c r="AD153" i="6"/>
  <c r="AD117" i="6"/>
  <c r="AD31" i="6"/>
  <c r="AD66" i="6"/>
  <c r="AD123" i="6"/>
  <c r="AD155" i="6"/>
  <c r="AD162" i="6"/>
  <c r="AD170" i="6"/>
  <c r="AD178" i="6"/>
  <c r="AD186" i="6"/>
  <c r="AD194" i="6"/>
  <c r="AD202" i="6"/>
  <c r="AD210" i="6"/>
  <c r="AD218" i="6"/>
  <c r="AD226" i="6"/>
  <c r="AD234" i="6"/>
  <c r="AD242" i="6"/>
  <c r="AD250" i="6"/>
  <c r="AD258" i="6"/>
  <c r="AD266" i="6"/>
  <c r="AD102" i="6"/>
  <c r="AD160" i="6"/>
  <c r="AD46" i="6"/>
  <c r="AD72" i="6"/>
  <c r="AD10" i="6"/>
  <c r="AD130" i="6"/>
  <c r="AD11" i="6"/>
  <c r="AD37" i="6"/>
  <c r="AD48" i="6"/>
  <c r="AD54" i="6"/>
  <c r="AD73" i="6"/>
  <c r="AD80" i="6"/>
  <c r="AD86" i="6"/>
  <c r="AD105" i="6"/>
  <c r="AD112" i="6"/>
  <c r="AD118" i="6"/>
  <c r="AD137" i="6"/>
  <c r="AD144" i="6"/>
  <c r="AD150" i="6"/>
  <c r="AD156" i="6"/>
  <c r="AD57" i="6"/>
  <c r="AD121" i="6"/>
  <c r="AD69" i="6"/>
  <c r="AD53" i="6"/>
  <c r="AD45" i="6"/>
  <c r="AD93" i="6"/>
  <c r="AD85" i="6"/>
  <c r="AD77" i="6"/>
  <c r="AD61" i="6"/>
  <c r="AD235" i="6"/>
  <c r="AD195" i="6"/>
  <c r="AD163" i="6"/>
  <c r="AD259" i="6"/>
  <c r="AD243" i="6"/>
  <c r="AD187" i="6"/>
  <c r="AD9" i="6"/>
  <c r="AD251" i="6"/>
  <c r="AD211" i="6"/>
  <c r="AD171" i="6"/>
  <c r="AD267" i="6"/>
  <c r="AD219" i="6"/>
  <c r="AD179" i="6"/>
  <c r="AD227" i="6"/>
  <c r="AD203" i="6"/>
  <c r="AD91" i="6"/>
  <c r="AD264" i="6"/>
  <c r="AD43" i="6"/>
  <c r="AD67" i="6"/>
  <c r="AD74" i="6"/>
  <c r="AD99" i="6"/>
  <c r="AD106" i="6"/>
  <c r="AD131" i="6"/>
  <c r="AD138" i="6"/>
  <c r="AD164" i="6"/>
  <c r="AD172" i="6"/>
  <c r="AD180" i="6"/>
  <c r="AD188" i="6"/>
  <c r="AD196" i="6"/>
  <c r="AD204" i="6"/>
  <c r="AD212" i="6"/>
  <c r="AD220" i="6"/>
  <c r="AD228" i="6"/>
  <c r="AD236" i="6"/>
  <c r="AD244" i="6"/>
  <c r="AD252" i="6"/>
  <c r="AD260" i="6"/>
  <c r="AD268" i="6"/>
  <c r="AE8" i="6"/>
  <c r="AE3" i="6"/>
  <c r="AD89" i="6"/>
  <c r="AD134" i="6"/>
  <c r="AD41" i="6"/>
  <c r="AD65" i="6"/>
  <c r="AD97" i="6"/>
  <c r="AD13" i="6"/>
  <c r="AD59" i="6"/>
  <c r="AD98" i="6"/>
  <c r="AD27" i="6"/>
  <c r="AD12" i="6"/>
  <c r="AE153" i="6" s="1"/>
  <c r="AD15" i="6"/>
  <c r="AD33" i="6"/>
  <c r="AD49" i="6"/>
  <c r="AD56" i="6"/>
  <c r="AD62" i="6"/>
  <c r="AD81" i="6"/>
  <c r="AD88" i="6"/>
  <c r="AD94" i="6"/>
  <c r="AD113" i="6"/>
  <c r="AD120" i="6"/>
  <c r="AD126" i="6"/>
  <c r="AD145" i="6"/>
  <c r="AD152" i="6"/>
  <c r="AD158" i="6"/>
  <c r="AD4" i="6"/>
  <c r="AE56" i="6" s="1"/>
  <c r="AD7" i="6"/>
  <c r="AD14" i="6"/>
  <c r="AD22" i="6"/>
  <c r="AD26" i="6"/>
  <c r="AD28" i="6"/>
  <c r="AE75" i="6" s="1"/>
  <c r="AD30" i="6"/>
  <c r="AD32" i="6"/>
  <c r="AD34" i="6"/>
  <c r="AD36" i="6"/>
  <c r="AD38" i="6"/>
  <c r="AD40" i="6"/>
  <c r="AD42" i="6"/>
  <c r="AD44" i="6"/>
  <c r="AD52" i="6"/>
  <c r="AD60" i="6"/>
  <c r="AD68" i="6"/>
  <c r="AD76" i="6"/>
  <c r="AD84" i="6"/>
  <c r="AD92" i="6"/>
  <c r="AD100" i="6"/>
  <c r="AD108" i="6"/>
  <c r="AD116" i="6"/>
  <c r="AD124" i="6"/>
  <c r="AD132" i="6"/>
  <c r="AD140" i="6"/>
  <c r="AE2" i="6"/>
  <c r="AE7" i="6"/>
  <c r="AE34" i="6"/>
  <c r="AD47" i="6"/>
  <c r="AD55" i="6"/>
  <c r="AE265" i="6" s="1"/>
  <c r="AD63" i="6"/>
  <c r="AD71" i="6"/>
  <c r="AD79" i="6"/>
  <c r="AD87" i="6"/>
  <c r="AD95" i="6"/>
  <c r="AD103" i="6"/>
  <c r="AD111" i="6"/>
  <c r="AD119" i="6"/>
  <c r="AD127" i="6"/>
  <c r="AD135" i="6"/>
  <c r="AD143" i="6"/>
  <c r="AD151" i="6"/>
  <c r="AD159" i="6"/>
  <c r="AD167" i="6"/>
  <c r="AD175" i="6"/>
  <c r="AD183" i="6"/>
  <c r="AD191" i="6"/>
  <c r="AD199" i="6"/>
  <c r="AD207" i="6"/>
  <c r="AD215" i="6"/>
  <c r="AD223" i="6"/>
  <c r="AD231" i="6"/>
  <c r="AD239" i="6"/>
  <c r="AD247" i="6"/>
  <c r="AD255" i="6"/>
  <c r="AD263" i="6"/>
  <c r="AE10" i="6"/>
  <c r="AE103" i="6"/>
  <c r="AD101" i="6"/>
  <c r="AD109" i="6"/>
  <c r="AE122" i="6"/>
  <c r="AD133" i="6"/>
  <c r="AD141" i="6"/>
  <c r="AD149" i="6"/>
  <c r="AD157" i="6"/>
  <c r="AE231" i="6" s="1"/>
  <c r="AD165" i="6"/>
  <c r="AD173" i="6"/>
  <c r="AD181" i="6"/>
  <c r="AD189" i="6"/>
  <c r="AD197" i="6"/>
  <c r="AD205" i="6"/>
  <c r="AD213" i="6"/>
  <c r="AD221" i="6"/>
  <c r="AD229" i="6"/>
  <c r="AD237" i="6"/>
  <c r="AD245" i="6"/>
  <c r="AD253" i="6"/>
  <c r="AD261" i="6"/>
  <c r="AD269" i="6"/>
  <c r="AE69" i="6"/>
  <c r="AE133" i="6"/>
  <c r="AE197" i="6"/>
  <c r="AD224" i="6"/>
  <c r="AD232" i="6"/>
  <c r="AD240" i="6"/>
  <c r="AD248" i="6"/>
  <c r="AD256" i="6"/>
  <c r="G4" i="4"/>
  <c r="G3" i="4"/>
  <c r="AE201" i="6" l="1"/>
  <c r="AE51" i="6"/>
  <c r="AE13" i="6"/>
  <c r="AE82" i="6"/>
  <c r="AE38" i="6"/>
  <c r="AE217" i="6"/>
  <c r="AE245" i="6"/>
  <c r="AE205" i="6"/>
  <c r="AE141" i="6"/>
  <c r="AE77" i="6"/>
  <c r="AE258" i="6"/>
  <c r="AE226" i="6"/>
  <c r="AE194" i="6"/>
  <c r="AE162" i="6"/>
  <c r="AE130" i="6"/>
  <c r="AE239" i="6"/>
  <c r="AE175" i="6"/>
  <c r="AE111" i="6"/>
  <c r="AE47" i="6"/>
  <c r="AE252" i="6"/>
  <c r="AE220" i="6"/>
  <c r="AE188" i="6"/>
  <c r="AE156" i="6"/>
  <c r="AE124" i="6"/>
  <c r="AE92" i="6"/>
  <c r="AE60" i="6"/>
  <c r="AE36" i="6"/>
  <c r="AE4" i="6"/>
  <c r="AE209" i="6"/>
  <c r="AE145" i="6"/>
  <c r="AE113" i="6"/>
  <c r="AE81" i="6"/>
  <c r="AE49" i="6"/>
  <c r="AE262" i="6"/>
  <c r="AE198" i="6"/>
  <c r="AE134" i="6"/>
  <c r="AE70" i="6"/>
  <c r="AE83" i="6"/>
  <c r="AE227" i="6"/>
  <c r="AE163" i="6"/>
  <c r="AE99" i="6"/>
  <c r="AE264" i="6"/>
  <c r="AE6" i="6"/>
  <c r="AE66" i="6"/>
  <c r="AE136" i="6"/>
  <c r="AE64" i="6"/>
  <c r="AE167" i="6"/>
  <c r="AE62" i="6"/>
  <c r="AE219" i="6"/>
  <c r="AE237" i="6"/>
  <c r="AE189" i="6"/>
  <c r="AE125" i="6"/>
  <c r="AE61" i="6"/>
  <c r="AE250" i="6"/>
  <c r="AE218" i="6"/>
  <c r="AE186" i="6"/>
  <c r="AE154" i="6"/>
  <c r="AE114" i="6"/>
  <c r="AE223" i="6"/>
  <c r="AE159" i="6"/>
  <c r="AE95" i="6"/>
  <c r="AE22" i="6"/>
  <c r="AE244" i="6"/>
  <c r="AE212" i="6"/>
  <c r="AE180" i="6"/>
  <c r="AE148" i="6"/>
  <c r="AE116" i="6"/>
  <c r="AE84" i="6"/>
  <c r="AE52" i="6"/>
  <c r="AE32" i="6"/>
  <c r="AE257" i="6"/>
  <c r="AE193" i="6"/>
  <c r="AE137" i="6"/>
  <c r="AE105" i="6"/>
  <c r="AE73" i="6"/>
  <c r="AE246" i="6"/>
  <c r="AE182" i="6"/>
  <c r="AE118" i="6"/>
  <c r="AE54" i="6"/>
  <c r="AE67" i="6"/>
  <c r="AE211" i="6"/>
  <c r="AE147" i="6"/>
  <c r="AE269" i="6"/>
  <c r="AE25" i="6"/>
  <c r="AE168" i="6"/>
  <c r="AE208" i="6"/>
  <c r="AE90" i="6"/>
  <c r="AE23" i="6"/>
  <c r="AE72" i="6"/>
  <c r="AE128" i="6"/>
  <c r="AE88" i="6"/>
  <c r="AE30" i="6"/>
  <c r="AE249" i="6"/>
  <c r="AE185" i="6"/>
  <c r="AE238" i="6"/>
  <c r="AE174" i="6"/>
  <c r="AE110" i="6"/>
  <c r="AE46" i="6"/>
  <c r="AE267" i="6"/>
  <c r="AE203" i="6"/>
  <c r="AE139" i="6"/>
  <c r="AE192" i="6"/>
  <c r="AE216" i="6"/>
  <c r="AE98" i="6"/>
  <c r="AE112" i="6"/>
  <c r="AE37" i="6"/>
  <c r="AE41" i="6"/>
  <c r="AE190" i="6"/>
  <c r="AE104" i="6"/>
  <c r="AE181" i="6"/>
  <c r="AE117" i="6"/>
  <c r="AE53" i="6"/>
  <c r="AE215" i="6"/>
  <c r="AE151" i="6"/>
  <c r="AE87" i="6"/>
  <c r="AE14" i="6"/>
  <c r="AE261" i="6"/>
  <c r="AE229" i="6"/>
  <c r="AE173" i="6"/>
  <c r="AE109" i="6"/>
  <c r="AE45" i="6"/>
  <c r="AE242" i="6"/>
  <c r="AE210" i="6"/>
  <c r="AE178" i="6"/>
  <c r="AE146" i="6"/>
  <c r="AE207" i="6"/>
  <c r="AE143" i="6"/>
  <c r="AE79" i="6"/>
  <c r="AE268" i="6"/>
  <c r="AE236" i="6"/>
  <c r="AE204" i="6"/>
  <c r="AE172" i="6"/>
  <c r="AE140" i="6"/>
  <c r="AE108" i="6"/>
  <c r="AE76" i="6"/>
  <c r="AE44" i="6"/>
  <c r="AE28" i="6"/>
  <c r="AE241" i="6"/>
  <c r="AE177" i="6"/>
  <c r="AE129" i="6"/>
  <c r="AE97" i="6"/>
  <c r="AE65" i="6"/>
  <c r="AE16" i="6"/>
  <c r="AE230" i="6"/>
  <c r="AE166" i="6"/>
  <c r="AE102" i="6"/>
  <c r="AE24" i="6"/>
  <c r="AE259" i="6"/>
  <c r="AE195" i="6"/>
  <c r="AE131" i="6"/>
  <c r="AE21" i="6"/>
  <c r="AE224" i="6"/>
  <c r="AE106" i="6"/>
  <c r="AE11" i="6"/>
  <c r="AE29" i="6"/>
  <c r="AE152" i="6"/>
  <c r="AE126" i="6"/>
  <c r="AE155" i="6"/>
  <c r="AE165" i="6"/>
  <c r="AE101" i="6"/>
  <c r="AE263" i="6"/>
  <c r="AE199" i="6"/>
  <c r="AE135" i="6"/>
  <c r="AE71" i="6"/>
  <c r="AE42" i="6"/>
  <c r="AE26" i="6"/>
  <c r="AE233" i="6"/>
  <c r="AE169" i="6"/>
  <c r="AE222" i="6"/>
  <c r="AE158" i="6"/>
  <c r="AE94" i="6"/>
  <c r="AE9" i="6"/>
  <c r="AE251" i="6"/>
  <c r="AE187" i="6"/>
  <c r="AE123" i="6"/>
  <c r="AE43" i="6"/>
  <c r="AE39" i="6"/>
  <c r="AE59" i="6"/>
  <c r="AE232" i="6"/>
  <c r="AE50" i="6"/>
  <c r="AE31" i="6"/>
  <c r="AE20" i="6"/>
  <c r="AE96" i="6"/>
  <c r="AE253" i="6"/>
  <c r="AE221" i="6"/>
  <c r="AE157" i="6"/>
  <c r="AE93" i="6"/>
  <c r="AE266" i="6"/>
  <c r="AE234" i="6"/>
  <c r="AE202" i="6"/>
  <c r="AE170" i="6"/>
  <c r="AE138" i="6"/>
  <c r="AE255" i="6"/>
  <c r="AE191" i="6"/>
  <c r="AE127" i="6"/>
  <c r="AE63" i="6"/>
  <c r="AE260" i="6"/>
  <c r="AE228" i="6"/>
  <c r="AE196" i="6"/>
  <c r="AE164" i="6"/>
  <c r="AE132" i="6"/>
  <c r="AE100" i="6"/>
  <c r="AE68" i="6"/>
  <c r="AE40" i="6"/>
  <c r="AE225" i="6"/>
  <c r="AE161" i="6"/>
  <c r="AE121" i="6"/>
  <c r="AE89" i="6"/>
  <c r="AE57" i="6"/>
  <c r="AE12" i="6"/>
  <c r="AE214" i="6"/>
  <c r="AE150" i="6"/>
  <c r="AE86" i="6"/>
  <c r="AE33" i="6"/>
  <c r="AE15" i="6"/>
  <c r="AE243" i="6"/>
  <c r="AE179" i="6"/>
  <c r="AE115" i="6"/>
  <c r="AE184" i="6"/>
  <c r="AE176" i="6"/>
  <c r="AE248" i="6"/>
  <c r="AE58" i="6"/>
  <c r="AE80" i="6"/>
  <c r="AE254" i="6"/>
  <c r="AE48" i="6"/>
  <c r="AE213" i="6"/>
  <c r="AE149" i="6"/>
  <c r="AE85" i="6"/>
  <c r="AE247" i="6"/>
  <c r="AE183" i="6"/>
  <c r="AE119" i="6"/>
  <c r="AE55" i="6"/>
  <c r="AE206" i="6"/>
  <c r="AE142" i="6"/>
  <c r="AE78" i="6"/>
  <c r="AE91" i="6"/>
  <c r="AE235" i="6"/>
  <c r="AE171" i="6"/>
  <c r="AE107" i="6"/>
  <c r="AE27" i="6"/>
  <c r="AE240" i="6"/>
  <c r="AE200" i="6"/>
  <c r="AE256" i="6"/>
  <c r="AE74" i="6"/>
  <c r="AE35" i="6"/>
  <c r="AE5" i="6"/>
  <c r="AE160" i="6"/>
  <c r="AE120" i="6"/>
  <c r="AE144" i="6"/>
  <c r="A1" i="4"/>
  <c r="D2" i="4"/>
  <c r="A3" i="4"/>
  <c r="C3" i="4"/>
  <c r="E3" i="4"/>
  <c r="F3" i="4"/>
  <c r="A4" i="4"/>
  <c r="E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</calcChain>
</file>

<file path=xl/sharedStrings.xml><?xml version="1.0" encoding="utf-8"?>
<sst xmlns="http://schemas.openxmlformats.org/spreadsheetml/2006/main" count="2238" uniqueCount="992">
  <si>
    <t xml:space="preserve">NATIONAL  HEALTH WORKFORCE ACCOUNTS DATA </t>
  </si>
  <si>
    <t>REGION:</t>
  </si>
  <si>
    <t>COUNTRY:</t>
  </si>
  <si>
    <t>PERIOD: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</si>
  <si>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</si>
  <si>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</si>
  <si>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</si>
  <si>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</si>
  <si>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</si>
  <si>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</si>
  <si>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</si>
  <si>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</si>
  <si>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</si>
  <si>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</si>
  <si>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</si>
  <si>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</si>
  <si>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</si>
  <si>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</si>
  <si>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</si>
  <si>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</si>
  <si>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</si>
  <si>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</si>
  <si>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</si>
  <si>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</si>
  <si>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</si>
  <si>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</si>
  <si>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</si>
  <si>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</si>
  <si>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</si>
  <si>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</si>
  <si>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</si>
  <si>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</si>
  <si>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</si>
  <si>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</si>
  <si>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</si>
  <si>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</si>
  <si>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</si>
  <si>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</si>
  <si>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</si>
  <si>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</si>
  <si>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</si>
  <si>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</si>
  <si>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</si>
  <si>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</si>
  <si>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</si>
  <si>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</si>
  <si>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</si>
  <si>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</si>
  <si>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</si>
  <si>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</si>
  <si>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</si>
  <si>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</si>
  <si>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</si>
  <si>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</si>
  <si>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</si>
  <si>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</si>
  <si>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</si>
  <si>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</si>
  <si>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</si>
  <si>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</si>
  <si>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</si>
  <si>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</si>
  <si>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</si>
  <si>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</si>
  <si>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</si>
  <si>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</si>
  <si>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</si>
  <si>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</si>
  <si>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</si>
  <si>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</si>
  <si>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</si>
  <si>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</si>
  <si>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</si>
  <si>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</si>
  <si>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</si>
  <si>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</si>
  <si>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</si>
  <si>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</si>
  <si>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</si>
  <si>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</si>
  <si>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</si>
  <si>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</si>
  <si>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</si>
  <si>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</si>
  <si>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</si>
  <si>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</si>
  <si>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</si>
  <si>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</si>
  <si>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</si>
  <si>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</si>
  <si>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</si>
  <si>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</si>
  <si>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</si>
  <si>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</si>
  <si>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</si>
  <si>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</si>
  <si>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</si>
  <si>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</si>
  <si>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</si>
  <si>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</si>
  <si>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</si>
  <si>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</si>
  <si>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</si>
  <si>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</si>
  <si>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</si>
  <si>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</si>
  <si>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</si>
  <si>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</si>
  <si>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</si>
  <si>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</si>
  <si>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</si>
  <si>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</si>
  <si>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</si>
  <si>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</si>
  <si>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</si>
  <si>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</si>
  <si>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</si>
  <si>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</si>
  <si>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</si>
  <si>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</si>
  <si>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</si>
  <si>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</si>
  <si>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</si>
  <si>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</si>
  <si>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</si>
  <si>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</si>
  <si>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</si>
  <si>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</si>
  <si>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</si>
  <si>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</si>
  <si>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</si>
  <si>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</si>
  <si>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</si>
  <si>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</si>
  <si>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</si>
  <si>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</si>
  <si>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</si>
  <si>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</si>
  <si>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</si>
  <si>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</si>
  <si>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</si>
  <si>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</si>
  <si>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</si>
  <si>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</si>
  <si>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</si>
  <si>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</si>
  <si>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</si>
  <si>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</si>
  <si>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</si>
  <si>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</si>
  <si>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</si>
  <si>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</si>
  <si>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</si>
  <si>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</si>
  <si>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</si>
  <si>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</si>
  <si>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</si>
  <si>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</si>
  <si>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</si>
  <si>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</si>
  <si>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</si>
  <si>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</si>
  <si>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</si>
  <si>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</si>
  <si>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</si>
  <si>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</si>
  <si>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</si>
  <si>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</si>
  <si>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</si>
  <si>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</si>
  <si>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</si>
  <si>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</si>
  <si>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</si>
  <si>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</si>
  <si>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</si>
  <si>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</si>
  <si>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</si>
  <si>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</si>
  <si>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</si>
  <si>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</si>
  <si>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</si>
  <si>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</si>
  <si>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</si>
  <si>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</si>
  <si>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</si>
  <si>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</si>
  <si>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</si>
  <si>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</si>
  <si>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</si>
  <si>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</si>
  <si>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</si>
  <si>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</si>
  <si>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</si>
  <si>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</si>
  <si>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</si>
  <si>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</si>
  <si>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</si>
  <si>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</si>
  <si>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</si>
  <si>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</si>
  <si>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</si>
  <si>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</si>
  <si>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</si>
  <si>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</si>
  <si>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</si>
  <si>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</si>
  <si>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</si>
  <si>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</si>
  <si>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</si>
  <si>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</si>
  <si>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</si>
  <si>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</si>
  <si>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</si>
  <si>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</si>
  <si>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</si>
  <si>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</si>
  <si>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</si>
  <si>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</si>
  <si>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</si>
  <si>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</si>
  <si>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</si>
  <si>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</si>
  <si>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</si>
  <si>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</si>
  <si>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</si>
  <si>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</si>
  <si>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</si>
  <si>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</si>
  <si>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</si>
  <si>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</si>
  <si>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</si>
  <si>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</si>
  <si>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</si>
  <si>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</si>
  <si>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</si>
  <si>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</si>
  <si>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</si>
  <si>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</si>
  <si>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</si>
  <si>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</si>
  <si>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</si>
  <si>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</si>
  <si>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</si>
  <si>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</si>
  <si>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</si>
  <si>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</si>
  <si>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</si>
  <si>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</si>
  <si>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</si>
  <si>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</si>
  <si>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</si>
  <si>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</si>
  <si>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</si>
  <si>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</si>
  <si>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</si>
  <si>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</si>
  <si>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</si>
  <si>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</si>
  <si>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</si>
  <si>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</si>
  <si>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</si>
  <si>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</si>
  <si>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</si>
  <si>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</si>
  <si>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</si>
  <si>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</si>
  <si>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</si>
  <si>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</si>
  <si>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</si>
  <si>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</si>
  <si>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</si>
  <si>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</si>
  <si>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</si>
  <si>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</si>
  <si>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</si>
  <si>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</si>
  <si>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</si>
  <si>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</si>
  <si>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</si>
  <si>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</si>
  <si>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</si>
  <si>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</si>
  <si>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</si>
  <si>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</si>
  <si>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</si>
  <si>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</si>
  <si>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</si>
  <si>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</si>
  <si>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</si>
  <si>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</si>
  <si>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</si>
  <si>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</si>
  <si>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</si>
  <si>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</si>
  <si>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</si>
  <si>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</si>
  <si>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</si>
  <si>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</si>
  <si>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</si>
  <si>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</si>
  <si>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</si>
  <si>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</si>
  <si>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</si>
  <si>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</si>
  <si>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</si>
  <si>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</si>
  <si>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</si>
  <si>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</si>
  <si>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</si>
  <si>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</si>
  <si>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</si>
  <si>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</si>
  <si>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</si>
  <si>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</si>
  <si>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</si>
  <si>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</si>
  <si>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</si>
  <si>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</si>
  <si>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</si>
  <si>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</si>
  <si>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</si>
  <si>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</si>
  <si>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</si>
  <si>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</si>
  <si>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</si>
  <si>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</si>
  <si>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</si>
  <si>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</si>
  <si>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</si>
  <si>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</si>
  <si>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</si>
  <si>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</si>
  <si>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</si>
  <si>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</si>
  <si>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</si>
  <si>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</si>
  <si>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</si>
  <si>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</si>
  <si>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</si>
  <si>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</si>
  <si>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</si>
  <si>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</si>
  <si>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</si>
  <si>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</si>
  <si>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</si>
  <si>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</si>
  <si>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</si>
  <si>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</si>
  <si>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</si>
  <si>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</si>
  <si>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</si>
  <si>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</si>
  <si>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</si>
  <si>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</si>
  <si>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</si>
  <si>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</si>
  <si>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</si>
  <si>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</si>
  <si>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</si>
  <si>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</si>
  <si>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</si>
  <si>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</si>
  <si>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</si>
  <si>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</si>
  <si>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</si>
  <si>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</si>
  <si>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</si>
  <si>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</si>
  <si>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</si>
  <si>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</si>
  <si>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</si>
  <si>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</si>
  <si>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</si>
  <si>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</si>
  <si>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</si>
  <si>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</si>
  <si>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</si>
  <si>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</si>
  <si>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</si>
  <si>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</si>
  <si>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</si>
  <si>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</si>
  <si>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</si>
  <si>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</si>
  <si>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</si>
  <si>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</si>
  <si>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</si>
  <si>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</si>
  <si>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</si>
  <si>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</si>
  <si>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</si>
  <si>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</si>
  <si>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</si>
  <si>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</si>
  <si>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</si>
  <si>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</si>
  <si>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</si>
  <si>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</si>
  <si>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</si>
  <si>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</si>
  <si>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</si>
  <si>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</si>
  <si>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</si>
  <si>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</si>
  <si>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</si>
  <si>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</si>
  <si>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</si>
  <si>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</si>
  <si>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</si>
  <si>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</si>
  <si>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</si>
  <si>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</si>
  <si>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</si>
  <si>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</si>
  <si>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</si>
  <si>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</si>
  <si>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</si>
  <si>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</si>
  <si>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</si>
  <si>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</si>
  <si>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</si>
  <si>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</si>
  <si>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</si>
  <si>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</si>
  <si>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</si>
  <si>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</si>
  <si>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</si>
  <si>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</si>
  <si>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</si>
  <si>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</si>
  <si>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</si>
  <si>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</si>
  <si>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</si>
  <si>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</si>
  <si>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</si>
  <si>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</si>
  <si>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</si>
  <si>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</si>
  <si>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</si>
  <si>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</si>
  <si>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</si>
  <si>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</si>
  <si>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</si>
  <si>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</si>
  <si>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</si>
  <si>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</si>
  <si>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</si>
  <si>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</si>
  <si>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</si>
  <si>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</si>
  <si>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</si>
  <si>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</si>
  <si>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</si>
  <si>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</si>
  <si>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</si>
  <si>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</si>
  <si>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</si>
  <si>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</si>
  <si>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</si>
  <si>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</si>
  <si>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</si>
  <si>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</si>
  <si>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</si>
  <si>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</si>
  <si>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</si>
  <si>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</si>
  <si>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</si>
  <si>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</si>
  <si>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</si>
  <si>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</si>
  <si>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</si>
  <si>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</si>
  <si>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</si>
  <si>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</si>
  <si>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</si>
  <si>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</si>
  <si>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</si>
  <si>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</si>
  <si>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</si>
  <si>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</si>
  <si>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</si>
  <si>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</si>
  <si>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</si>
  <si>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</si>
  <si>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</si>
  <si>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</si>
  <si>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</si>
  <si>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</si>
  <si>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</si>
  <si>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</si>
  <si>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</si>
  <si>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</si>
  <si>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</si>
  <si>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</si>
  <si>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</si>
  <si>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</si>
  <si>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</si>
  <si>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</si>
  <si>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</si>
  <si>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</si>
  <si>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</si>
  <si>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</si>
  <si>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</si>
  <si>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</si>
  <si>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</si>
  <si>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</si>
  <si>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</si>
  <si>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</si>
  <si>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</si>
  <si>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</si>
  <si>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</si>
  <si>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</si>
  <si>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</si>
  <si>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</si>
  <si>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</si>
  <si>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</si>
  <si>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</si>
  <si>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</si>
  <si>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</si>
  <si>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</si>
  <si>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</si>
  <si>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</si>
  <si>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</si>
  <si>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</si>
  <si>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</si>
  <si>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</si>
  <si>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</si>
  <si>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</si>
  <si>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</si>
  <si>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</si>
  <si>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</si>
  <si>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</si>
  <si>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</si>
  <si>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</si>
  <si>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</si>
  <si>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</si>
  <si>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</si>
  <si>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</si>
  <si>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</si>
  <si>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</si>
  <si>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</si>
  <si>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</si>
  <si>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</si>
  <si>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</si>
  <si>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</si>
  <si>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</si>
  <si>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</si>
  <si>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</si>
  <si>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</si>
  <si>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</si>
  <si>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</si>
  <si>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</si>
  <si>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</si>
  <si>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</si>
  <si>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</si>
  <si>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</si>
  <si>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</si>
  <si>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</si>
  <si>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</si>
  <si>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</si>
  <si>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</si>
  <si>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</si>
  <si>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</si>
  <si>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</si>
  <si>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</si>
  <si>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</si>
  <si>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</si>
  <si>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</si>
  <si>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</si>
  <si>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</si>
  <si>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</si>
  <si>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</si>
  <si>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</si>
  <si>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</si>
  <si>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</si>
  <si>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</si>
  <si>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</si>
  <si>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</si>
  <si>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</si>
  <si>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</si>
  <si>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</si>
  <si>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</si>
  <si>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</si>
  <si>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</si>
  <si>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</si>
  <si>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</si>
  <si>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</si>
  <si>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</si>
  <si>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</si>
  <si>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</si>
  <si>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</si>
  <si>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</si>
  <si>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</si>
  <si>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</si>
  <si>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</si>
  <si>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</si>
  <si>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</si>
  <si>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</si>
  <si>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</si>
  <si>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</si>
  <si>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</si>
  <si>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</si>
  <si>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</si>
  <si>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</si>
  <si>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</si>
  <si>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</si>
  <si>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</si>
  <si>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</si>
  <si>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</si>
  <si>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</si>
  <si>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</si>
  <si>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</si>
  <si>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</si>
  <si>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</si>
  <si>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</si>
  <si>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</si>
  <si>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</si>
  <si>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</si>
  <si>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</si>
  <si>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</si>
  <si>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</si>
  <si>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</si>
  <si>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</si>
  <si>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</si>
  <si>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</si>
  <si>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</si>
  <si>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</si>
  <si>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</si>
  <si>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</si>
  <si>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</si>
  <si>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</si>
  <si>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</si>
  <si>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</si>
  <si>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</si>
  <si>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</si>
  <si>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</si>
  <si>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</si>
  <si>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</si>
  <si>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</si>
  <si>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</si>
  <si>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</si>
  <si>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</si>
  <si>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</si>
  <si>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</si>
  <si>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</si>
  <si>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</si>
  <si>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</si>
  <si>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</si>
  <si>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</si>
  <si>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</si>
  <si>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</si>
  <si>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</si>
  <si>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</si>
  <si>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</si>
  <si>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</si>
  <si>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</si>
  <si>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</si>
  <si>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</si>
  <si>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</si>
  <si>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</si>
  <si>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</si>
  <si>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</si>
  <si>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</si>
  <si>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</si>
  <si>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</si>
  <si>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</si>
  <si>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</si>
  <si>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</si>
  <si>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</si>
  <si>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</si>
  <si>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</si>
  <si>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</si>
  <si>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</si>
  <si>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</si>
  <si>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</si>
  <si>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</si>
  <si>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</si>
  <si>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</si>
  <si>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</si>
  <si>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</si>
  <si>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</si>
  <si>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</si>
  <si>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</si>
  <si>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</si>
  <si>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</si>
  <si>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</si>
  <si>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</si>
  <si>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</si>
  <si>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</si>
  <si>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</si>
  <si>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</si>
  <si>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</si>
  <si>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</si>
  <si>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</si>
  <si>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</si>
  <si>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</si>
  <si>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</si>
  <si>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</si>
  <si>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</si>
  <si>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</si>
  <si>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</si>
  <si>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</si>
  <si>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</si>
  <si>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</si>
  <si>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</si>
  <si>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</si>
  <si>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</si>
  <si>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</si>
  <si>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</si>
  <si>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</si>
  <si>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</si>
  <si>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</si>
  <si>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</si>
  <si>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</si>
  <si>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</si>
  <si>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</si>
  <si>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</si>
  <si>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</si>
  <si>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</si>
  <si>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</si>
  <si>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</si>
  <si>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</si>
  <si>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</si>
  <si>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</si>
  <si>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</si>
  <si>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</si>
  <si>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</si>
  <si>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</si>
  <si>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</si>
  <si>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</si>
  <si>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</si>
  <si>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</si>
  <si>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</si>
  <si>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</si>
  <si>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</si>
  <si>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</si>
  <si>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</si>
  <si>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</si>
  <si>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</si>
  <si>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</si>
  <si>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</si>
  <si>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</si>
  <si>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</si>
  <si>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</si>
  <si>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</si>
  <si>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Item</t>
  </si>
  <si>
    <t>Health Workforce Skill Mix Composition</t>
  </si>
  <si>
    <t>Health Workforce Governance and Policies</t>
  </si>
  <si>
    <t>Health Workforce Information Systems</t>
  </si>
  <si>
    <t>Comments</t>
  </si>
  <si>
    <t>PARTIAL</t>
  </si>
  <si>
    <t>None</t>
  </si>
  <si>
    <t>Limited</t>
  </si>
  <si>
    <t>Developed</t>
  </si>
  <si>
    <t>Demonstrated</t>
  </si>
  <si>
    <t>Sustainable</t>
  </si>
  <si>
    <t>Value</t>
  </si>
  <si>
    <t>Percentage of HWF at the hospitals (8-01)</t>
  </si>
  <si>
    <t>Percentage of health workforce working in residential long-term care facilities (8-02)</t>
  </si>
  <si>
    <t>Percentage of health workforce working in ambulatory health care (8-03)</t>
  </si>
  <si>
    <t>Number of specialist surgical workers (8-04)</t>
  </si>
  <si>
    <t>Number of family medicine practitioners (8-05)</t>
  </si>
  <si>
    <t>Existence of advanced nursing roles (8-06)</t>
  </si>
  <si>
    <t>Availability of human resources to implement IHR (8-07)</t>
  </si>
  <si>
    <t>Applied epidemiology training programme (8-08)</t>
  </si>
  <si>
    <t>Existence of institutional mechanisms to coordinate an intersectoral health workforce agenda (9-01)</t>
  </si>
  <si>
    <t>Existence</t>
  </si>
  <si>
    <t>Existence of a health workforce unit responsible for developing and monitoring policies and plans on health workforce  (9-02)</t>
  </si>
  <si>
    <t>Existence of mechanisms and models for health workforce planning  (9-03)</t>
  </si>
  <si>
    <t>Existence of national education plans for health workers, aligned with the national health plan and the national health workforce strategy/plan  (9-04)</t>
  </si>
  <si>
    <t>Existence of institutional models for assessing and monitoring staffing needs for health service delivery  (9-05)</t>
  </si>
  <si>
    <t>Existence of HRHIS for reporting on International Health Regulations (10-01)</t>
  </si>
  <si>
    <t>Existence of HRHIS for reporting on  the WHO Global Code of Practice on the International Recruitment of Health Personnel (10-02)</t>
  </si>
  <si>
    <t>Existence of HRHIS for reporting on Skilled Attendance at Birth requirements (10-03)</t>
  </si>
  <si>
    <t>Existence of HRHIS for reporting on outputs from education and training institutions (10-04)</t>
  </si>
  <si>
    <t>Existence of HRHIS to track entrants to the labour market (10-05)</t>
  </si>
  <si>
    <t>Existence of HRHIS to track the number of active stock per year (10-06)</t>
  </si>
  <si>
    <t>Existence of HRHIS to track the number of exits per year (10-07)</t>
  </si>
  <si>
    <t>Existence of HRHIS to produce geo-coded location of health facilities (10-08)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</si>
  <si>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</si>
  <si>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</si>
  <si>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</si>
  <si>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</si>
  <si>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</si>
  <si>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</si>
  <si>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</si>
  <si>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</si>
  <si>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</si>
  <si>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</si>
  <si>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</si>
  <si>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</si>
  <si>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</si>
  <si>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</si>
  <si>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</si>
  <si>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</si>
  <si>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</si>
  <si>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</si>
  <si>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</si>
  <si>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</si>
  <si>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</si>
  <si>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</si>
  <si>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</si>
  <si>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</si>
  <si>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</si>
  <si>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</si>
  <si>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</si>
  <si>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</si>
  <si>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</si>
  <si>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</si>
  <si>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</si>
  <si>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</si>
  <si>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</si>
  <si>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</si>
  <si>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</si>
  <si>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</si>
  <si>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</si>
  <si>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</si>
  <si>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</si>
  <si>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</si>
  <si>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</si>
  <si>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</si>
  <si>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</si>
  <si>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</si>
  <si>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</si>
  <si>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</si>
  <si>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</si>
  <si>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</si>
  <si>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</si>
  <si>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</si>
  <si>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</si>
  <si>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</si>
  <si>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</si>
  <si>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</si>
  <si>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</si>
  <si>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</si>
  <si>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</si>
  <si>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</si>
  <si>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</si>
  <si>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</si>
  <si>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</si>
  <si>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</si>
  <si>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</si>
  <si>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</si>
  <si>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</si>
  <si>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</si>
  <si>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</si>
  <si>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</si>
  <si>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NHWA_MODULE_8_v1</t>
  </si>
  <si>
    <t>True only</t>
  </si>
  <si>
    <t>Boolean</t>
  </si>
  <si>
    <t>Options</t>
  </si>
  <si>
    <t>Periods</t>
  </si>
  <si>
    <t>Organisation Units</t>
  </si>
  <si>
    <t>No</t>
  </si>
  <si>
    <t>boolean</t>
  </si>
  <si>
    <t>false</t>
  </si>
  <si>
    <t>Yes</t>
  </si>
  <si>
    <t>true</t>
  </si>
  <si>
    <t>organisationUnit</t>
  </si>
  <si>
    <t>TEXT</t>
  </si>
  <si>
    <t>NHWA_None_Limited_Developed_Demonstrated_Sustainable</t>
  </si>
  <si>
    <t>optionSets</t>
  </si>
  <si>
    <t>SIWjelxSF5N</t>
  </si>
  <si>
    <t>Partial</t>
  </si>
  <si>
    <t>categoryOptions</t>
  </si>
  <si>
    <t>KyFesytPvpt</t>
  </si>
  <si>
    <t>KKBsggVfCTv</t>
  </si>
  <si>
    <t>B9p76UEP9T6</t>
  </si>
  <si>
    <t>default</t>
  </si>
  <si>
    <t>Y7fcspgsU43</t>
  </si>
  <si>
    <t>None, Limited, Developed, Demonstrated, Sustainable</t>
  </si>
  <si>
    <t>options</t>
  </si>
  <si>
    <t>Y1gB77iJTiq</t>
  </si>
  <si>
    <t>B1PHM4NGzbS</t>
  </si>
  <si>
    <t>L2wN1LrcVjj</t>
  </si>
  <si>
    <t>aFr1xKtnGEB</t>
  </si>
  <si>
    <t>fbgwOXou1Mq</t>
  </si>
  <si>
    <t>NHWA_No</t>
  </si>
  <si>
    <t>categoryOptionCombos</t>
  </si>
  <si>
    <t>Y7EAGQA1bfv</t>
  </si>
  <si>
    <t>NHWA_Partial</t>
  </si>
  <si>
    <t>Xgr3PJxcWfJ</t>
  </si>
  <si>
    <t>Xr12mI7VPn3</t>
  </si>
  <si>
    <t>NHWA_Yes</t>
  </si>
  <si>
    <t>I93t0K7b1oN</t>
  </si>
  <si>
    <t>NHWA Module 8-10</t>
  </si>
  <si>
    <t>dataSets</t>
  </si>
  <si>
    <t>p5z7F51v1ag</t>
  </si>
  <si>
    <t>HWF Module 8-10</t>
  </si>
  <si>
    <t>dataEntryForms</t>
  </si>
  <si>
    <t>qFGgohqJuy0</t>
  </si>
  <si>
    <t>NHWA_Yes Partial No</t>
  </si>
  <si>
    <t>categories</t>
  </si>
  <si>
    <t>BGi4lPgaJ07</t>
  </si>
  <si>
    <t>DMyxTSpvKOp</t>
  </si>
  <si>
    <t>categoryCombos</t>
  </si>
  <si>
    <t>JzvGfLYkX17</t>
  </si>
  <si>
    <t>sNmNyudrFxw</t>
  </si>
  <si>
    <t>LONG_TEXT</t>
  </si>
  <si>
    <t>Comment of Existence of HRHIS the labour market</t>
  </si>
  <si>
    <t>dataElements</t>
  </si>
  <si>
    <t>AK5r5VIXYOW</t>
  </si>
  <si>
    <t>TRUE_ONLY</t>
  </si>
  <si>
    <t>Institutional models for assessing staff needs</t>
  </si>
  <si>
    <t>HgQ76w0VONy</t>
  </si>
  <si>
    <t>Comment of Applied epidemiology training programme</t>
  </si>
  <si>
    <t>PBUMZvqh0r2</t>
  </si>
  <si>
    <t>National education plans aligned with HWF strategy</t>
  </si>
  <si>
    <t>wDaqByzsz7p</t>
  </si>
  <si>
    <t>HRHIS reporting outputs from training institution</t>
  </si>
  <si>
    <t>IidAimBSgEf</t>
  </si>
  <si>
    <t>Comment of Existence of HRHIS</t>
  </si>
  <si>
    <t>jieOOtItEQg</t>
  </si>
  <si>
    <t>HRHIS reporting WHO global Code of Practice</t>
  </si>
  <si>
    <t>RHokurJAbjS</t>
  </si>
  <si>
    <t>Comment of existence of advanced nursing roles</t>
  </si>
  <si>
    <t>jlJcFRt3mmg</t>
  </si>
  <si>
    <t>Mechanisms to coordinate an intersectoral HWF</t>
  </si>
  <si>
    <t>ROVoulCcT0j</t>
  </si>
  <si>
    <t>HRHIS reporting Skill Attendance at Birth req</t>
  </si>
  <si>
    <t>w8SWd1reRm8</t>
  </si>
  <si>
    <t>HRHIS for reporting on IHR</t>
  </si>
  <si>
    <t>f87mpByuPub</t>
  </si>
  <si>
    <t>Comment of Existence of HRHIS of exits</t>
  </si>
  <si>
    <t>bGA2GtwhrC9</t>
  </si>
  <si>
    <t>HRHIS track the number of exits per year</t>
  </si>
  <si>
    <t>qNxAIa6jvmm</t>
  </si>
  <si>
    <t>Developing and monitoring policies and plan on HWF</t>
  </si>
  <si>
    <t>yqQBUxeuga4</t>
  </si>
  <si>
    <t>Comment of education the health workforce strategy</t>
  </si>
  <si>
    <t>oLpoOT6tO7g</t>
  </si>
  <si>
    <t>epidemiology training</t>
  </si>
  <si>
    <t>u6F6nBWeomT</t>
  </si>
  <si>
    <t>Comment of Existence of outputs from education</t>
  </si>
  <si>
    <t>mwwpy9cyOGy</t>
  </si>
  <si>
    <t>Comment of Existence of HRHIS Birth requirements</t>
  </si>
  <si>
    <t>aAaUMHvUPv1</t>
  </si>
  <si>
    <t>Comment of Availability of human resources IHR</t>
  </si>
  <si>
    <t>rYm7I91K6Je</t>
  </si>
  <si>
    <t>NUMBER</t>
  </si>
  <si>
    <t>% HWF in residential long-term care facilities</t>
  </si>
  <si>
    <t>fxBC5D01Iem</t>
  </si>
  <si>
    <t>Existence of advanced nursing roles</t>
  </si>
  <si>
    <t>tKr3k3lbnJJ</t>
  </si>
  <si>
    <t>HRHIS tracking entrants to the labour market</t>
  </si>
  <si>
    <t>q8CUMlpFLtJ</t>
  </si>
  <si>
    <t>FILE_RESOURCE</t>
  </si>
  <si>
    <t>HWF Module 10 File upload</t>
  </si>
  <si>
    <t>c0hyfYTOuUh</t>
  </si>
  <si>
    <t>HWF Module 8 File upload</t>
  </si>
  <si>
    <t>FvQ6WiqHbmo</t>
  </si>
  <si>
    <t>HR availability to implement IHR</t>
  </si>
  <si>
    <t>EVairjAiRv6</t>
  </si>
  <si>
    <t>Mechanisms and models for HWFplanning</t>
  </si>
  <si>
    <t>tdwemEgGckz</t>
  </si>
  <si>
    <t>HRHIS track the number of active stock per year</t>
  </si>
  <si>
    <t>hR7B1ITcCMe</t>
  </si>
  <si>
    <t>Comment of number of active stock per year</t>
  </si>
  <si>
    <t>QuUK6IgR9oZ</t>
  </si>
  <si>
    <t>Comment of existence plans on health workforce</t>
  </si>
  <si>
    <t>R6JXOAVTsay</t>
  </si>
  <si>
    <t>HRHIS produce geo-coded location of HF</t>
  </si>
  <si>
    <t>FZYvE3Jdf8L</t>
  </si>
  <si>
    <t>Comment of Existence of service delivery</t>
  </si>
  <si>
    <t>RM1vy8bSPE8</t>
  </si>
  <si>
    <t>% HWF at the hospitals</t>
  </si>
  <si>
    <t>LW954y3FqL8</t>
  </si>
  <si>
    <t>INTEGER_ZERO_OR_POSITIVE</t>
  </si>
  <si>
    <t>Number of family medicine practioners</t>
  </si>
  <si>
    <t>XEj0ILIlbWO</t>
  </si>
  <si>
    <t>HWF Module 9 File upload</t>
  </si>
  <si>
    <t>VbA9JYedRlP</t>
  </si>
  <si>
    <t>Comment of HRHIS Recruitment of Health Personnel</t>
  </si>
  <si>
    <t>tASpRJWiyvN</t>
  </si>
  <si>
    <t>Comment of existence health workforce planning</t>
  </si>
  <si>
    <t>risbLwkLwW5</t>
  </si>
  <si>
    <t>Number of specialist surgical workers</t>
  </si>
  <si>
    <t>zozZbvSo4Bz</t>
  </si>
  <si>
    <t>Comment of geo-coded location of health facilities</t>
  </si>
  <si>
    <t>cWUu9JeMtg7</t>
  </si>
  <si>
    <t>% HWF working in ambulatory health care</t>
  </si>
  <si>
    <t>EWJZZN7T9IW</t>
  </si>
  <si>
    <t>Comment of existence mechanisms to coordinate</t>
  </si>
  <si>
    <t>xtrKmZJKljq</t>
  </si>
  <si>
    <t>Possible Values</t>
  </si>
  <si>
    <t>Option Set</t>
  </si>
  <si>
    <t>Value Type</t>
  </si>
  <si>
    <t>Type</t>
  </si>
  <si>
    <t>Identifier</t>
  </si>
  <si>
    <t>☐</t>
  </si>
  <si>
    <t>☒</t>
  </si>
  <si>
    <t>YNP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</si>
</sst>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1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10" fillId="0" borderId="0"/>
  </cellStyleXfs>
  <cellXfs count="68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0" fillId="0" borderId="0" xfId="0" applyProtection="1"/>
    <xf numFmtId="0" fontId="2" fillId="0" borderId="0" xfId="0" applyFont="1" applyProtection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Alignment="1" applyProtection="1">
      <alignment vertical="center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0" fillId="0" borderId="1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1" xfId="0" applyFont="1" applyBorder="1" applyProtection="1"/>
    <xf numFmtId="0" fontId="0" fillId="3" borderId="1" xfId="0" applyFill="1" applyBorder="1" applyProtection="1">
      <protection locked="0"/>
    </xf>
    <xf numFmtId="0" fontId="0" fillId="3" borderId="1" xfId="0" applyFill="1" applyBorder="1" applyProtection="1"/>
    <xf numFmtId="0" fontId="8" fillId="0" borderId="1" xfId="0" applyFont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left" vertical="center" wrapText="1"/>
    </xf>
    <xf numFmtId="0" fontId="8" fillId="0" borderId="2" xfId="0" applyFont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vertical="center"/>
    </xf>
    <xf numFmtId="0" fontId="7" fillId="0" borderId="0" xfId="1" applyFont="1" applyFill="1" applyBorder="1" applyAlignment="1" applyProtection="1">
      <alignment vertical="center"/>
    </xf>
    <xf numFmtId="0" fontId="0" fillId="0" borderId="3" xfId="0" applyFill="1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8" fillId="0" borderId="3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9" fillId="0" borderId="0" xfId="0" applyFont="1" applyProtection="1"/>
    <xf numFmtId="0" fontId="0" fillId="0" borderId="1" xfId="0" applyBorder="1" applyProtection="1">
      <protection locked="0"/>
    </xf>
    <xf numFmtId="0" fontId="10" fillId="0" borderId="0" xfId="19"/>
    <xf numFmtId="0" fontId="0" fillId="0" borderId="0" xfId="0" applyBorder="1" applyProtection="1"/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8" fillId="0" borderId="0" xfId="0" applyFont="1" applyBorder="1" applyProtection="1"/>
    <xf numFmtId="0" fontId="0" fillId="0" borderId="0" xfId="0" applyBorder="1" applyAlignment="1" applyProtection="1">
      <alignment vertical="center"/>
    </xf>
    <xf numFmtId="0" fontId="10" fillId="0" borderId="0" xfId="19" quotePrefix="1"/>
    <xf numFmtId="0" fontId="11" fillId="0" borderId="1" xfId="0" applyFont="1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vertical="center"/>
    </xf>
    <xf numFmtId="0" fontId="3" fillId="0" borderId="0" xfId="9" applyProtection="1"/>
    <xf numFmtId="0" fontId="6" fillId="0" borderId="0" xfId="9" applyFont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</xf>
    <xf numFmtId="0" fontId="0" fillId="0" borderId="2" xfId="0" applyNumberFormat="1" applyBorder="1" applyAlignment="1" applyProtection="1">
      <alignment horizontal="center" vertical="center"/>
      <protection locked="0"/>
    </xf>
    <xf numFmtId="0" fontId="8" fillId="0" borderId="2" xfId="0" applyNumberFormat="1" applyFont="1" applyBorder="1" applyAlignment="1" applyProtection="1">
      <alignment horizontal="center" vertical="center"/>
      <protection locked="0"/>
    </xf>
    <xf numFmtId="0" fontId="7" fillId="0" borderId="0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/>
    </xf>
    <xf numFmtId="0" fontId="7" fillId="2" borderId="1" xfId="1" applyFont="1" applyBorder="1" applyAlignment="1" applyProtection="1">
      <alignment horizontal="center" vertical="center"/>
    </xf>
    <xf numFmtId="0" fontId="7" fillId="2" borderId="2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6" xfId="1" applyFont="1" applyBorder="1" applyAlignment="1" applyProtection="1">
      <alignment horizontal="center" vertical="center"/>
    </xf>
    <xf numFmtId="0" fontId="7" fillId="2" borderId="7" xfId="1" applyFont="1" applyBorder="1" applyAlignment="1" applyProtection="1">
      <alignment horizontal="center" vertical="center"/>
    </xf>
    <xf numFmtId="0" fontId="7" fillId="2" borderId="8" xfId="1" applyFont="1" applyBorder="1" applyAlignment="1" applyProtection="1">
      <alignment horizontal="center" vertical="center"/>
    </xf>
    <xf numFmtId="0" fontId="7" fillId="2" borderId="9" xfId="1" applyFont="1" applyBorder="1" applyAlignment="1" applyProtection="1">
      <alignment horizontal="center" vertical="center"/>
    </xf>
    <xf numFmtId="0" fontId="7" fillId="2" borderId="10" xfId="1" applyFont="1" applyBorder="1" applyAlignment="1" applyProtection="1">
      <alignment horizontal="center" vertical="center"/>
    </xf>
    <xf numFmtId="0" fontId="7" fillId="2" borderId="11" xfId="1" applyFont="1" applyBorder="1" applyAlignment="1" applyProtection="1">
      <alignment horizontal="center" vertical="center"/>
    </xf>
    <xf numFmtId="0" fontId="7" fillId="2" borderId="4" xfId="1" applyFont="1" applyBorder="1" applyAlignment="1" applyProtection="1">
      <alignment horizontal="center" vertical="center"/>
    </xf>
    <xf numFmtId="0" fontId="7" fillId="2" borderId="5" xfId="1" applyFont="1" applyBorder="1" applyAlignment="1" applyProtection="1">
      <alignment horizontal="center" vertical="center"/>
    </xf>
    <xf numFmtId="0" fontId="10" fillId="4" borderId="0" xfId="19" applyFont="1" applyFill="1" applyAlignment="1">
      <alignment horizontal="center" vertical="center" wrapText="1" shrinkToFit="1"/>
    </xf>
    <xf numFmtId="9" fontId="0" fillId="0" borderId="0" xfId="0" applyNumberFormat="1" applyFill="1" applyBorder="1" applyAlignment="1" applyProtection="1">
      <alignment vertical="center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0BF13C4D-41B2-4FB2-9FD6-3F2FEF905A4F}"/>
    <cellStyle name="tgl" xfId="18" xr:uid="{00000000-0005-0000-0000-000012000000}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BF69A-1E01-4500-B092-11A89F8D121C}">
  <dimension ref="A1:AF269"/>
  <sheetViews>
    <sheetView tabSelected="1" workbookViewId="0">
      <selection activeCell="C4" sqref="C4"/>
    </sheetView>
  </sheetViews>
  <sheetFormatPr defaultRowHeight="15" x14ac:dyDescent="0.25"/>
  <cols>
    <col min="1" max="1" width="9.140625" style="2"/>
    <col min="2" max="2" width="10.85546875" style="2" customWidth="1"/>
    <col min="3" max="3" width="62.140625" style="2" customWidth="1"/>
    <col min="4" max="6" width="17" style="2" customWidth="1"/>
    <col min="7" max="7" width="16.42578125" style="2" customWidth="1"/>
    <col min="8" max="8" width="15.5703125" style="2" customWidth="1"/>
    <col min="9" max="9" width="16" style="2" customWidth="1"/>
    <col min="10" max="10" width="10.28515625" style="2" customWidth="1"/>
    <col min="11" max="14" width="9.140625" style="2"/>
    <col min="15" max="15" width="9.140625" style="2" hidden="1" customWidth="1"/>
    <col min="16" max="16" width="12.5703125" style="2" hidden="1" customWidth="1"/>
    <col min="17" max="17" width="11.5703125" style="2" hidden="1" customWidth="1"/>
    <col min="18" max="18" width="16.28515625" style="2" hidden="1" customWidth="1"/>
    <col min="19" max="19" width="12" style="2" hidden="1" customWidth="1"/>
    <col min="20" max="20" width="12.140625" style="2" hidden="1" customWidth="1"/>
    <col min="21" max="21" width="9.7109375" style="2" hidden="1" customWidth="1"/>
    <col min="22" max="31" width="9.140625" style="2" hidden="1" customWidth="1"/>
    <col min="32" max="32" width="9.140625" style="2"/>
  </cols>
  <sheetData>
    <row r="1" spans="1:31" ht="23.25" x14ac:dyDescent="0.25">
      <c r="A1" s="30" t="s">
        <v>847</v>
      </c>
      <c r="B1" s="51" t="s">
        <v>0</v>
      </c>
      <c r="C1" s="51"/>
      <c r="D1" s="51"/>
      <c r="E1" s="51"/>
      <c r="F1" s="51"/>
      <c r="G1" s="51"/>
      <c r="H1" s="51"/>
      <c r="I1" s="51"/>
      <c r="J1" s="40"/>
      <c r="K1" s="40"/>
      <c r="L1" s="40"/>
      <c r="M1" s="40"/>
      <c r="N1" s="40"/>
      <c r="O1" s="40"/>
      <c r="P1" s="40"/>
      <c r="Q1" s="40"/>
      <c r="R1" s="40"/>
      <c r="T1" s="40"/>
      <c r="U1" s="40"/>
      <c r="V1" s="41"/>
      <c r="W1" s="40"/>
      <c r="X1" s="40"/>
      <c r="Y1" s="2" t="s">
        <v>187</v>
      </c>
      <c r="Z1" s="2" t="s">
        <v>188</v>
      </c>
      <c r="AA1" s="2" t="s">
        <v>189</v>
      </c>
      <c r="AB1" s="2" t="s">
        <v>190</v>
      </c>
    </row>
    <row r="2" spans="1:31" ht="23.25" x14ac:dyDescent="0.25">
      <c r="B2" s="51" t="s">
        <v>746</v>
      </c>
      <c r="C2" s="51"/>
      <c r="D2" s="51"/>
      <c r="E2" s="51"/>
      <c r="F2" s="51"/>
      <c r="G2" s="51"/>
      <c r="H2" s="51"/>
      <c r="I2" s="51"/>
      <c r="J2" s="40"/>
      <c r="K2" s="40"/>
      <c r="L2" s="40"/>
      <c r="M2" s="40"/>
      <c r="N2" s="40"/>
      <c r="O2" s="40"/>
      <c r="P2" s="40"/>
      <c r="Q2" s="40"/>
      <c r="R2" s="40"/>
      <c r="T2" s="40"/>
      <c r="U2" s="40"/>
      <c r="V2" s="40"/>
      <c r="W2" s="40"/>
      <c r="X2" s="40"/>
      <c r="Y2" s="2" t="s">
        <v>81</v>
      </c>
      <c r="Z2" s="2" t="s">
        <v>361</v>
      </c>
      <c r="AA2" s="2" t="s">
        <v>362</v>
      </c>
      <c r="AB2" s="2" t="s">
        <v>363</v>
      </c>
      <c r="AC2" s="2">
        <f t="shared" ref="AC2:AC65" si="0">--ISNUMBER(IFERROR(SEARCH($V$1,Y2,1),""))</f>
        <v>1</v>
      </c>
      <c r="AD2" s="2">
        <f>IF(AC2=1,COUNTIF($AC$2:AC2,1),"")</f>
        <v>1</v>
      </c>
      <c r="AE2" s="2" t="str">
        <f>IFERROR(INDEX($Y$2:$Y$253,MATCH(ROWS($AD$2:AD2),$AD$2:$AD$253,0)),"")</f>
        <v>Afghanistan</v>
      </c>
    </row>
    <row r="3" spans="1:31" ht="23.25" x14ac:dyDescent="0.2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2" t="s">
        <v>101</v>
      </c>
      <c r="Z3" s="2" t="s">
        <v>407</v>
      </c>
      <c r="AA3" s="2" t="s">
        <v>408</v>
      </c>
      <c r="AB3" s="2" t="s">
        <v>409</v>
      </c>
      <c r="AC3" s="2">
        <f t="shared" si="0"/>
        <v>1</v>
      </c>
      <c r="AD3" s="2">
        <f>IF(AC3=1,COUNTIF($AC$2:AC3,1),"")</f>
        <v>2</v>
      </c>
      <c r="AE3" s="2" t="str">
        <f>IFERROR(INDEX($Y$2:$Y$253,MATCH(ROWS($AD$2:AD3),$AD$2:$AD$253,0)),"")</f>
        <v>Albania</v>
      </c>
    </row>
    <row r="4" spans="1:31" x14ac:dyDescent="0.25">
      <c r="B4" s="16" t="s">
        <v>2</v>
      </c>
      <c r="C4" s="31"/>
      <c r="E4" s="11" t="s">
        <v>1</v>
      </c>
      <c r="F4" s="18" t="str">
        <f>IFERROR(VLOOKUP(C4,Y2:AB252,4,0),"")</f>
        <v/>
      </c>
      <c r="H4" s="16" t="s">
        <v>3</v>
      </c>
      <c r="I4" s="17"/>
      <c r="Y4" s="2" t="s">
        <v>5</v>
      </c>
      <c r="Z4" s="2" t="s">
        <v>191</v>
      </c>
      <c r="AA4" s="2" t="s">
        <v>192</v>
      </c>
      <c r="AB4" s="2" t="s">
        <v>193</v>
      </c>
      <c r="AC4" s="2">
        <f t="shared" si="0"/>
        <v>1</v>
      </c>
      <c r="AD4" s="2">
        <f>IF(AC4=1,COUNTIF($AC$2:AC4,1),"")</f>
        <v>3</v>
      </c>
      <c r="AE4" s="2" t="str">
        <f>IFERROR(INDEX($Y$2:$Y$253,MATCH(ROWS($AD$2:AD4),$AD$2:$AD$253,0)),"")</f>
        <v>Algeria</v>
      </c>
    </row>
    <row r="5" spans="1:31" ht="23.25" x14ac:dyDescent="0.25">
      <c r="B5" s="44"/>
      <c r="C5" s="44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V5" s="2" t="s">
        <v>743</v>
      </c>
      <c r="Y5" s="2" t="s">
        <v>514</v>
      </c>
      <c r="Z5" s="2" t="s">
        <v>515</v>
      </c>
      <c r="AA5" s="2" t="s">
        <v>516</v>
      </c>
      <c r="AB5" s="2" t="s">
        <v>688</v>
      </c>
      <c r="AC5" s="2">
        <f t="shared" si="0"/>
        <v>1</v>
      </c>
      <c r="AD5" s="2">
        <f>IF(AC5=1,COUNTIF($AC$2:AC5,1),"")</f>
        <v>4</v>
      </c>
      <c r="AE5" s="2" t="str">
        <f>IFERROR(INDEX($Y$2:$Y$253,MATCH(ROWS($AD$2:AD5),$AD$2:$AD$253,0)),"")</f>
        <v>American Samoa</v>
      </c>
    </row>
    <row r="6" spans="1:31" ht="15.75" x14ac:dyDescent="0.25">
      <c r="B6" s="49" t="s">
        <v>4</v>
      </c>
      <c r="C6" s="49" t="s">
        <v>745</v>
      </c>
      <c r="D6" s="50" t="s">
        <v>756</v>
      </c>
      <c r="E6" s="23"/>
      <c r="F6" s="24"/>
      <c r="G6" s="24"/>
      <c r="H6" s="24"/>
      <c r="I6" s="7"/>
      <c r="N6" s="4"/>
      <c r="O6" s="4"/>
      <c r="P6" s="4"/>
      <c r="Q6" s="4"/>
      <c r="R6" s="4"/>
      <c r="S6" s="48"/>
      <c r="T6" s="48"/>
      <c r="V6" s="2" t="s">
        <v>750</v>
      </c>
      <c r="Y6" s="2" t="s">
        <v>102</v>
      </c>
      <c r="Z6" s="2" t="s">
        <v>410</v>
      </c>
      <c r="AA6" s="2" t="s">
        <v>411</v>
      </c>
      <c r="AB6" s="2" t="s">
        <v>409</v>
      </c>
      <c r="AC6" s="2">
        <f t="shared" si="0"/>
        <v>1</v>
      </c>
      <c r="AD6" s="2">
        <f>IF(AC6=1,COUNTIF($AC$2:AC6,1),"")</f>
        <v>5</v>
      </c>
      <c r="AE6" s="2" t="str">
        <f>IFERROR(INDEX($Y$2:$Y$253,MATCH(ROWS($AD$2:AD6),$AD$2:$AD$253,0)),"")</f>
        <v>Andorra</v>
      </c>
    </row>
    <row r="7" spans="1:31" ht="15.75" x14ac:dyDescent="0.25">
      <c r="B7" s="49"/>
      <c r="C7" s="49"/>
      <c r="D7" s="50"/>
      <c r="E7" s="23"/>
      <c r="F7" s="24"/>
      <c r="G7" s="24"/>
      <c r="H7" s="24"/>
      <c r="I7" s="7"/>
      <c r="N7" s="43"/>
      <c r="O7" s="43"/>
      <c r="P7" s="5"/>
      <c r="Q7" s="5"/>
      <c r="R7" s="5"/>
      <c r="S7" s="5"/>
      <c r="T7" s="5"/>
      <c r="V7" s="2" t="s">
        <v>744</v>
      </c>
      <c r="Y7" s="2" t="s">
        <v>6</v>
      </c>
      <c r="Z7" s="2" t="s">
        <v>194</v>
      </c>
      <c r="AA7" s="2" t="s">
        <v>195</v>
      </c>
      <c r="AB7" s="2" t="s">
        <v>193</v>
      </c>
      <c r="AC7" s="2">
        <f t="shared" si="0"/>
        <v>1</v>
      </c>
      <c r="AD7" s="2">
        <f>IF(AC7=1,COUNTIF($AC$2:AC7,1),"")</f>
        <v>6</v>
      </c>
      <c r="AE7" s="2" t="str">
        <f>IFERROR(INDEX($Y$2:$Y$253,MATCH(ROWS($AD$2:AD7),$AD$2:$AD$253,0)),"")</f>
        <v>Angola</v>
      </c>
    </row>
    <row r="8" spans="1:31" ht="30" customHeight="1" x14ac:dyDescent="0.25">
      <c r="B8" s="8">
        <v>1</v>
      </c>
      <c r="C8" s="9" t="s">
        <v>757</v>
      </c>
      <c r="D8" s="45"/>
      <c r="E8" s="25"/>
      <c r="F8" s="67"/>
      <c r="G8" s="26"/>
      <c r="H8" s="26"/>
      <c r="I8" s="7"/>
      <c r="N8" s="6"/>
      <c r="O8" s="6"/>
      <c r="P8" s="6"/>
      <c r="Q8" s="6"/>
      <c r="R8" s="6"/>
      <c r="Y8" s="29" t="s">
        <v>518</v>
      </c>
      <c r="Z8" s="29" t="s">
        <v>519</v>
      </c>
      <c r="AA8" s="29" t="s">
        <v>520</v>
      </c>
      <c r="AB8" s="29" t="s">
        <v>291</v>
      </c>
      <c r="AC8" s="2">
        <f t="shared" si="0"/>
        <v>1</v>
      </c>
      <c r="AD8" s="2">
        <f>IF(AC8=1,COUNTIF($AC$2:AC8,1),"")</f>
        <v>7</v>
      </c>
      <c r="AE8" s="2" t="str">
        <f>IFERROR(INDEX($Y$2:$Y$253,MATCH(ROWS($AD$2:AD8),$AD$2:$AD$253,0)),"")</f>
        <v>Anguilla</v>
      </c>
    </row>
    <row r="9" spans="1:31" ht="30" customHeight="1" x14ac:dyDescent="0.25">
      <c r="B9" s="8">
        <v>2</v>
      </c>
      <c r="C9" s="9" t="s">
        <v>758</v>
      </c>
      <c r="D9" s="45"/>
      <c r="E9" s="25"/>
      <c r="F9" s="67"/>
      <c r="G9" s="26"/>
      <c r="H9" s="26"/>
      <c r="I9" s="7"/>
      <c r="N9" s="6"/>
      <c r="O9" s="6"/>
      <c r="P9" s="6"/>
      <c r="Q9" s="6"/>
      <c r="R9" s="6"/>
      <c r="Y9" s="29" t="s">
        <v>47</v>
      </c>
      <c r="Z9" s="29" t="s">
        <v>289</v>
      </c>
      <c r="AA9" s="29" t="s">
        <v>290</v>
      </c>
      <c r="AB9" s="29" t="s">
        <v>291</v>
      </c>
      <c r="AC9" s="2">
        <f t="shared" si="0"/>
        <v>1</v>
      </c>
      <c r="AD9" s="2">
        <f>IF(AC9=1,COUNTIF($AC$2:AC9,1),"")</f>
        <v>8</v>
      </c>
      <c r="AE9" s="2" t="str">
        <f>IFERROR(INDEX($Y$2:$Y$253,MATCH(ROWS($AD$2:AD9),$AD$2:$AD$253,0)),"")</f>
        <v>Antigua and Barbuda</v>
      </c>
    </row>
    <row r="10" spans="1:31" ht="30" customHeight="1" x14ac:dyDescent="0.25">
      <c r="B10" s="8">
        <v>3</v>
      </c>
      <c r="C10" s="9" t="s">
        <v>759</v>
      </c>
      <c r="D10" s="46"/>
      <c r="E10" s="27"/>
      <c r="F10" s="28"/>
      <c r="G10" s="28"/>
      <c r="H10" s="28"/>
      <c r="I10" s="7"/>
      <c r="N10" s="6"/>
      <c r="O10" s="6"/>
      <c r="P10" s="6"/>
      <c r="Q10" s="6"/>
      <c r="R10" s="6"/>
      <c r="S10" s="6"/>
      <c r="T10" s="6"/>
      <c r="V10" s="2">
        <v>1</v>
      </c>
      <c r="Y10" s="29" t="s">
        <v>48</v>
      </c>
      <c r="Z10" s="29" t="s">
        <v>292</v>
      </c>
      <c r="AA10" s="29" t="s">
        <v>293</v>
      </c>
      <c r="AB10" s="29" t="s">
        <v>291</v>
      </c>
      <c r="AC10" s="2">
        <f t="shared" si="0"/>
        <v>1</v>
      </c>
      <c r="AD10" s="2">
        <f>IF(AC10=1,COUNTIF($AC$2:AC10,1),"")</f>
        <v>9</v>
      </c>
      <c r="AE10" s="2" t="str">
        <f>IFERROR(INDEX($Y$2:$Y$253,MATCH(ROWS($AD$2:AD10),$AD$2:$AD$253,0)),"")</f>
        <v>Argentina</v>
      </c>
    </row>
    <row r="11" spans="1:31" ht="30" customHeight="1" x14ac:dyDescent="0.25">
      <c r="B11" s="8">
        <v>4</v>
      </c>
      <c r="C11" s="9" t="s">
        <v>760</v>
      </c>
      <c r="D11" s="22"/>
      <c r="E11" s="27"/>
      <c r="F11" s="28"/>
      <c r="G11" s="28"/>
      <c r="H11" s="28"/>
      <c r="I11" s="7"/>
      <c r="N11" s="6"/>
      <c r="O11" s="6"/>
      <c r="P11" s="6"/>
      <c r="Q11" s="6"/>
      <c r="R11" s="6"/>
      <c r="S11" s="6"/>
      <c r="T11" s="6"/>
      <c r="Y11" s="29" t="s">
        <v>103</v>
      </c>
      <c r="Z11" s="29" t="s">
        <v>412</v>
      </c>
      <c r="AA11" s="29" t="s">
        <v>413</v>
      </c>
      <c r="AB11" s="29" t="s">
        <v>409</v>
      </c>
      <c r="AC11" s="2">
        <f t="shared" si="0"/>
        <v>1</v>
      </c>
      <c r="AD11" s="2">
        <f>IF(AC11=1,COUNTIF($AC$2:AC11,1),"")</f>
        <v>10</v>
      </c>
      <c r="AE11" s="2" t="str">
        <f>IFERROR(INDEX($Y$2:$Y$253,MATCH(ROWS($AD$2:AD11),$AD$2:$AD$253,0)),"")</f>
        <v>Armenia</v>
      </c>
    </row>
    <row r="12" spans="1:31" ht="30" customHeight="1" x14ac:dyDescent="0.25">
      <c r="B12" s="8">
        <v>5</v>
      </c>
      <c r="C12" s="9" t="s">
        <v>761</v>
      </c>
      <c r="D12" s="22"/>
      <c r="E12" s="27"/>
      <c r="F12" s="28"/>
      <c r="G12" s="28"/>
      <c r="H12" s="28"/>
      <c r="I12" s="7"/>
      <c r="N12" s="6"/>
      <c r="O12" s="6"/>
      <c r="P12" s="6"/>
      <c r="Q12" s="6"/>
      <c r="R12" s="6"/>
      <c r="S12" s="6"/>
      <c r="T12" s="6"/>
      <c r="U12" s="2" t="s">
        <v>743</v>
      </c>
      <c r="V12" s="2" t="s">
        <v>750</v>
      </c>
      <c r="W12" s="2" t="s">
        <v>744</v>
      </c>
      <c r="Y12" s="29" t="s">
        <v>521</v>
      </c>
      <c r="Z12" s="29" t="s">
        <v>522</v>
      </c>
      <c r="AA12" s="29" t="s">
        <v>523</v>
      </c>
      <c r="AB12" s="29" t="s">
        <v>291</v>
      </c>
      <c r="AC12" s="2">
        <f t="shared" si="0"/>
        <v>1</v>
      </c>
      <c r="AD12" s="2">
        <f>IF(AC12=1,COUNTIF($AC$2:AC12,1),"")</f>
        <v>11</v>
      </c>
      <c r="AE12" s="2" t="str">
        <f>IFERROR(INDEX($Y$2:$Y$253,MATCH(ROWS($AD$2:AD12),$AD$2:$AD$253,0)),"")</f>
        <v>Aruba</v>
      </c>
    </row>
    <row r="13" spans="1:31" ht="15.75" x14ac:dyDescent="0.25">
      <c r="I13" s="7"/>
      <c r="N13" s="6"/>
      <c r="O13" s="6"/>
      <c r="P13" s="6"/>
      <c r="Q13" s="6"/>
      <c r="R13" s="6"/>
      <c r="S13" s="6"/>
      <c r="T13" s="6"/>
      <c r="U13" s="2" t="str">
        <f>IF($V$10=2,"True","")</f>
        <v/>
      </c>
      <c r="V13" s="2" t="str">
        <f>IF($V$10=3,"True","")</f>
        <v/>
      </c>
      <c r="W13" s="2" t="str">
        <f>IF($V$10=4,"True","")</f>
        <v/>
      </c>
      <c r="Y13" s="29" t="s">
        <v>162</v>
      </c>
      <c r="Z13" s="29" t="s">
        <v>686</v>
      </c>
      <c r="AA13" s="29" t="s">
        <v>687</v>
      </c>
      <c r="AB13" s="29" t="s">
        <v>688</v>
      </c>
      <c r="AC13" s="2">
        <f t="shared" si="0"/>
        <v>1</v>
      </c>
      <c r="AD13" s="2">
        <f>IF(AC13=1,COUNTIF($AC$2:AC13,1),"")</f>
        <v>12</v>
      </c>
      <c r="AE13" s="2" t="str">
        <f>IFERROR(INDEX($Y$2:$Y$253,MATCH(ROWS($AD$2:AD13),$AD$2:$AD$253,0)),"")</f>
        <v>Australia</v>
      </c>
    </row>
    <row r="14" spans="1:31" x14ac:dyDescent="0.25">
      <c r="B14" s="49" t="s">
        <v>4</v>
      </c>
      <c r="C14" s="49" t="s">
        <v>745</v>
      </c>
      <c r="D14" s="49" t="s">
        <v>856</v>
      </c>
      <c r="E14" s="49" t="s">
        <v>863</v>
      </c>
      <c r="F14" s="49" t="s">
        <v>853</v>
      </c>
      <c r="G14" s="49" t="s">
        <v>749</v>
      </c>
      <c r="H14" s="49"/>
      <c r="I14" s="49"/>
      <c r="J14" s="49"/>
      <c r="N14" s="6"/>
      <c r="O14" s="6"/>
      <c r="P14" s="6"/>
      <c r="Q14" s="6"/>
      <c r="R14" s="6"/>
      <c r="S14" s="6"/>
      <c r="T14" s="6"/>
      <c r="Y14" s="29" t="s">
        <v>104</v>
      </c>
      <c r="Z14" s="29" t="s">
        <v>414</v>
      </c>
      <c r="AA14" s="29" t="s">
        <v>415</v>
      </c>
      <c r="AB14" s="29" t="s">
        <v>409</v>
      </c>
      <c r="AC14" s="2">
        <f t="shared" si="0"/>
        <v>1</v>
      </c>
      <c r="AD14" s="2">
        <f>IF(AC14=1,COUNTIF($AC$2:AC14,1),"")</f>
        <v>13</v>
      </c>
      <c r="AE14" s="2" t="str">
        <f>IFERROR(INDEX($Y$2:$Y$253,MATCH(ROWS($AD$2:AD14),$AD$2:$AD$253,0)),"")</f>
        <v>Austria</v>
      </c>
    </row>
    <row r="15" spans="1:31" x14ac:dyDescent="0.25">
      <c r="B15" s="49"/>
      <c r="C15" s="49"/>
      <c r="D15" s="49"/>
      <c r="E15" s="49"/>
      <c r="F15" s="49"/>
      <c r="G15" s="49"/>
      <c r="H15" s="49"/>
      <c r="I15" s="49"/>
      <c r="J15" s="49"/>
      <c r="N15" s="6"/>
      <c r="O15" s="6"/>
      <c r="P15" s="6"/>
      <c r="Q15" s="6"/>
      <c r="R15" s="6"/>
      <c r="S15" s="6"/>
      <c r="T15" s="6"/>
      <c r="V15" s="2" t="str">
        <f>""</f>
        <v/>
      </c>
      <c r="Y15" s="29" t="s">
        <v>105</v>
      </c>
      <c r="Z15" s="29" t="s">
        <v>416</v>
      </c>
      <c r="AA15" s="29" t="s">
        <v>417</v>
      </c>
      <c r="AB15" s="29" t="s">
        <v>409</v>
      </c>
      <c r="AC15" s="2">
        <f t="shared" si="0"/>
        <v>1</v>
      </c>
      <c r="AD15" s="2">
        <f>IF(AC15=1,COUNTIF($AC$2:AC15,1),"")</f>
        <v>14</v>
      </c>
      <c r="AE15" s="2" t="str">
        <f>IFERROR(INDEX($Y$2:$Y$253,MATCH(ROWS($AD$2:AD15),$AD$2:$AD$253,0)),"")</f>
        <v>Azerbaijan</v>
      </c>
    </row>
    <row r="16" spans="1:31" ht="30" customHeight="1" x14ac:dyDescent="0.25">
      <c r="B16" s="8">
        <v>6</v>
      </c>
      <c r="C16" s="10" t="s">
        <v>762</v>
      </c>
      <c r="D16" s="39" t="s">
        <v>989</v>
      </c>
      <c r="E16" s="39" t="s">
        <v>989</v>
      </c>
      <c r="F16" s="39" t="s">
        <v>989</v>
      </c>
      <c r="G16" s="52"/>
      <c r="H16" s="52"/>
      <c r="I16" s="52"/>
      <c r="J16" s="52"/>
      <c r="N16" s="6"/>
      <c r="O16" s="6"/>
      <c r="P16" s="6"/>
      <c r="Q16" s="6"/>
      <c r="R16" s="6"/>
      <c r="S16" s="6"/>
      <c r="T16" s="6"/>
      <c r="V16" s="2" t="s">
        <v>751</v>
      </c>
      <c r="Y16" s="29" t="s">
        <v>294</v>
      </c>
      <c r="Z16" s="29" t="s">
        <v>295</v>
      </c>
      <c r="AA16" s="29" t="s">
        <v>296</v>
      </c>
      <c r="AB16" s="29" t="s">
        <v>291</v>
      </c>
      <c r="AC16" s="2">
        <f t="shared" si="0"/>
        <v>1</v>
      </c>
      <c r="AD16" s="2">
        <f>IF(AC16=1,COUNTIF($AC$2:AC16,1),"")</f>
        <v>15</v>
      </c>
      <c r="AE16" s="2" t="str">
        <f>IFERROR(INDEX($Y$2:$Y$253,MATCH(ROWS($AD$2:AD16),$AD$2:$AD$253,0)),"")</f>
        <v>Bahamas</v>
      </c>
    </row>
    <row r="17" spans="1:32" ht="15.75" x14ac:dyDescent="0.25">
      <c r="A17" s="33"/>
      <c r="B17" s="34"/>
      <c r="C17" s="35"/>
      <c r="D17" s="36"/>
      <c r="E17" s="33"/>
      <c r="F17" s="33"/>
      <c r="G17" s="33"/>
      <c r="H17" s="33"/>
      <c r="I17" s="34"/>
      <c r="J17" s="34"/>
      <c r="K17" s="34"/>
      <c r="L17" s="34"/>
      <c r="M17" s="33"/>
      <c r="N17" s="6"/>
      <c r="O17" s="6"/>
      <c r="P17" s="6"/>
      <c r="Q17" s="6"/>
      <c r="R17" s="6"/>
      <c r="S17" s="6"/>
      <c r="T17" s="6"/>
      <c r="U17" s="33"/>
      <c r="V17" s="33"/>
      <c r="W17" s="33"/>
      <c r="X17" s="33"/>
      <c r="Y17" s="37"/>
      <c r="Z17" s="37"/>
      <c r="AA17" s="37"/>
      <c r="AB17" s="37"/>
      <c r="AC17" s="33"/>
      <c r="AD17" s="33"/>
      <c r="AE17" s="33"/>
      <c r="AF17" s="33"/>
    </row>
    <row r="18" spans="1:32" ht="15.75" x14ac:dyDescent="0.25">
      <c r="A18" s="24"/>
      <c r="B18" s="49" t="s">
        <v>4</v>
      </c>
      <c r="C18" s="49" t="s">
        <v>745</v>
      </c>
      <c r="D18" s="49" t="s">
        <v>766</v>
      </c>
      <c r="E18" s="49"/>
      <c r="F18" s="49"/>
      <c r="G18" s="49" t="s">
        <v>749</v>
      </c>
      <c r="H18" s="49"/>
      <c r="I18" s="49"/>
      <c r="J18" s="49"/>
      <c r="K18" s="6"/>
      <c r="L18" s="6"/>
      <c r="M18" s="6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</row>
    <row r="19" spans="1:32" ht="15.75" x14ac:dyDescent="0.25">
      <c r="A19" s="24"/>
      <c r="B19" s="49"/>
      <c r="C19" s="49"/>
      <c r="D19" s="49"/>
      <c r="E19" s="49"/>
      <c r="F19" s="49"/>
      <c r="G19" s="49"/>
      <c r="H19" s="49"/>
      <c r="I19" s="49"/>
      <c r="J19" s="49"/>
      <c r="K19" s="6"/>
      <c r="L19" s="6"/>
      <c r="M19" s="6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</row>
    <row r="20" spans="1:32" ht="30" customHeight="1" x14ac:dyDescent="0.25">
      <c r="B20" s="8">
        <v>7</v>
      </c>
      <c r="C20" s="12" t="s">
        <v>763</v>
      </c>
      <c r="D20" s="53"/>
      <c r="E20" s="53"/>
      <c r="F20" s="53"/>
      <c r="G20" s="53"/>
      <c r="H20" s="53"/>
      <c r="I20" s="53"/>
      <c r="J20" s="53"/>
      <c r="N20" s="33"/>
      <c r="V20" s="2" t="s">
        <v>752</v>
      </c>
      <c r="Y20" s="29" t="s">
        <v>82</v>
      </c>
      <c r="Z20" s="29" t="s">
        <v>364</v>
      </c>
      <c r="AA20" s="29" t="s">
        <v>365</v>
      </c>
      <c r="AB20" s="29" t="s">
        <v>363</v>
      </c>
      <c r="AC20" s="2">
        <f t="shared" si="0"/>
        <v>1</v>
      </c>
      <c r="AD20" s="2">
        <f>IF(AC20=1,COUNTIF($AC$2:AC20,1),"")</f>
        <v>16</v>
      </c>
      <c r="AE20" s="2" t="str">
        <f>IFERROR(INDEX($Y$2:$Y$253,MATCH(ROWS($AD$2:AD20),$AD$2:$AD$253,0)),"")</f>
        <v>Belarus</v>
      </c>
    </row>
    <row r="21" spans="1:32" ht="30" customHeight="1" x14ac:dyDescent="0.25">
      <c r="B21" s="8">
        <v>8</v>
      </c>
      <c r="C21" s="12" t="s">
        <v>764</v>
      </c>
      <c r="D21" s="53"/>
      <c r="E21" s="53"/>
      <c r="F21" s="53"/>
      <c r="G21" s="53"/>
      <c r="H21" s="53"/>
      <c r="I21" s="53"/>
      <c r="J21" s="53"/>
      <c r="N21" s="33"/>
      <c r="V21" s="2" t="s">
        <v>753</v>
      </c>
      <c r="Y21" s="29" t="s">
        <v>151</v>
      </c>
      <c r="Z21" s="29" t="s">
        <v>779</v>
      </c>
      <c r="AA21" s="29" t="s">
        <v>664</v>
      </c>
      <c r="AB21" s="29" t="s">
        <v>665</v>
      </c>
      <c r="AC21" s="2">
        <f t="shared" si="0"/>
        <v>1</v>
      </c>
      <c r="AD21" s="2">
        <f>IF(AC21=1,COUNTIF($AC$2:AC21,1),"")</f>
        <v>17</v>
      </c>
      <c r="AE21" s="2" t="str">
        <f>IFERROR(INDEX($Y$2:$Y$253,MATCH(ROWS($AD$2:AD21),$AD$2:$AD$253,0)),"")</f>
        <v>Belgium</v>
      </c>
    </row>
    <row r="22" spans="1:32" x14ac:dyDescent="0.25">
      <c r="E22" s="33"/>
      <c r="F22" s="33"/>
      <c r="G22" s="33"/>
      <c r="H22" s="33"/>
      <c r="I22" s="33"/>
      <c r="J22" s="33"/>
      <c r="K22" s="33"/>
      <c r="L22" s="33"/>
      <c r="M22" s="33"/>
      <c r="N22" s="33"/>
      <c r="V22" s="2" t="s">
        <v>754</v>
      </c>
      <c r="Y22" s="29" t="s">
        <v>49</v>
      </c>
      <c r="Z22" s="29" t="s">
        <v>297</v>
      </c>
      <c r="AA22" s="29" t="s">
        <v>298</v>
      </c>
      <c r="AB22" s="29" t="s">
        <v>291</v>
      </c>
      <c r="AC22" s="2">
        <f t="shared" si="0"/>
        <v>1</v>
      </c>
      <c r="AD22" s="2">
        <f>IF(AC22=1,COUNTIF($AC$2:AC22,1),"")</f>
        <v>18</v>
      </c>
      <c r="AE22" s="2" t="str">
        <f>IFERROR(INDEX($Y$2:$Y$253,MATCH(ROWS($AD$2:AD22),$AD$2:$AD$253,0)),"")</f>
        <v>Belize</v>
      </c>
    </row>
    <row r="23" spans="1:32" x14ac:dyDescent="0.25">
      <c r="V23" s="2" t="s">
        <v>755</v>
      </c>
      <c r="Y23" s="29" t="s">
        <v>106</v>
      </c>
      <c r="Z23" s="29" t="s">
        <v>418</v>
      </c>
      <c r="AA23" s="29" t="s">
        <v>419</v>
      </c>
      <c r="AB23" s="29" t="s">
        <v>409</v>
      </c>
      <c r="AC23" s="2">
        <f t="shared" si="0"/>
        <v>1</v>
      </c>
      <c r="AD23" s="2">
        <f>IF(AC23=1,COUNTIF($AC$2:AC23,1),"")</f>
        <v>19</v>
      </c>
      <c r="AE23" s="2" t="str">
        <f>IFERROR(INDEX($Y$2:$Y$253,MATCH(ROWS($AD$2:AD23),$AD$2:$AD$253,0)),"")</f>
        <v>Benin</v>
      </c>
    </row>
    <row r="24" spans="1:32" x14ac:dyDescent="0.25">
      <c r="Y24" s="29" t="s">
        <v>107</v>
      </c>
      <c r="Z24" s="29" t="s">
        <v>420</v>
      </c>
      <c r="AA24" s="29" t="s">
        <v>421</v>
      </c>
      <c r="AB24" s="29" t="s">
        <v>409</v>
      </c>
      <c r="AC24" s="2">
        <f t="shared" si="0"/>
        <v>1</v>
      </c>
      <c r="AD24" s="2">
        <f>IF(AC24=1,COUNTIF($AC$2:AC24,1),"")</f>
        <v>20</v>
      </c>
      <c r="AE24" s="2" t="str">
        <f>IFERROR(INDEX($Y$2:$Y$253,MATCH(ROWS($AD$2:AD24),$AD$2:$AD$253,0)),"")</f>
        <v>Bermuda</v>
      </c>
    </row>
    <row r="25" spans="1:32" x14ac:dyDescent="0.25">
      <c r="O25" s="2">
        <f t="shared" ref="O25:O42" ca="1" si="1">O26+1</f>
        <v>2020</v>
      </c>
      <c r="V25" s="2">
        <v>1</v>
      </c>
      <c r="W25" s="2">
        <v>1</v>
      </c>
      <c r="Y25" s="29" t="s">
        <v>50</v>
      </c>
      <c r="Z25" s="29" t="s">
        <v>299</v>
      </c>
      <c r="AA25" s="29" t="s">
        <v>300</v>
      </c>
      <c r="AB25" s="29" t="s">
        <v>291</v>
      </c>
      <c r="AC25" s="2">
        <f t="shared" si="0"/>
        <v>1</v>
      </c>
      <c r="AD25" s="2">
        <f>IF(AC25=1,COUNTIF($AC$2:AC25,1),"")</f>
        <v>21</v>
      </c>
      <c r="AE25" s="2" t="str">
        <f>IFERROR(INDEX($Y$2:$Y$253,MATCH(ROWS($AD$2:AD25),$AD$2:$AD$253,0)),"")</f>
        <v>Bhutan</v>
      </c>
    </row>
    <row r="26" spans="1:32" x14ac:dyDescent="0.25">
      <c r="O26" s="2">
        <f t="shared" ca="1" si="1"/>
        <v>2019</v>
      </c>
      <c r="V26" s="2" t="str">
        <f ca="1">INDIRECT(ADDRESS(ROW(V15)+V25-1,COLUMN(V15)))</f>
        <v/>
      </c>
      <c r="W26" s="2" t="str">
        <f ca="1">INDIRECT(ADDRESS(ROW(V15)+W25-1,COLUMN(V15)))</f>
        <v/>
      </c>
      <c r="Y26" s="29" t="s">
        <v>7</v>
      </c>
      <c r="Z26" s="29" t="s">
        <v>8</v>
      </c>
      <c r="AA26" s="29" t="s">
        <v>196</v>
      </c>
      <c r="AB26" s="29" t="s">
        <v>193</v>
      </c>
      <c r="AC26" s="2">
        <f t="shared" si="0"/>
        <v>1</v>
      </c>
      <c r="AD26" s="2">
        <f>IF(AC26=1,COUNTIF($AC$2:AC26,1),"")</f>
        <v>22</v>
      </c>
      <c r="AE26" s="2" t="str">
        <f>IFERROR(INDEX($Y$2:$Y$253,MATCH(ROWS($AD$2:AD26),$AD$2:$AD$253,0)),"")</f>
        <v>Bolivia (Plurinational State of)</v>
      </c>
    </row>
    <row r="27" spans="1:32" x14ac:dyDescent="0.25">
      <c r="O27" s="2">
        <f t="shared" ca="1" si="1"/>
        <v>2018</v>
      </c>
      <c r="Y27" s="29" t="s">
        <v>524</v>
      </c>
      <c r="Z27" s="29" t="s">
        <v>525</v>
      </c>
      <c r="AA27" s="29" t="s">
        <v>526</v>
      </c>
      <c r="AB27" s="29" t="s">
        <v>291</v>
      </c>
      <c r="AC27" s="2">
        <f t="shared" si="0"/>
        <v>1</v>
      </c>
      <c r="AD27" s="2">
        <f>IF(AC27=1,COUNTIF($AC$2:AC27,1),"")</f>
        <v>23</v>
      </c>
      <c r="AE27" s="2" t="str">
        <f>IFERROR(INDEX($Y$2:$Y$253,MATCH(ROWS($AD$2:AD27),$AD$2:$AD$253,0)),"")</f>
        <v>Bonaire, Saint Eustatius and Saba</v>
      </c>
    </row>
    <row r="28" spans="1:32" x14ac:dyDescent="0.25">
      <c r="O28" s="2">
        <f t="shared" ca="1" si="1"/>
        <v>2017</v>
      </c>
      <c r="Y28" s="29" t="s">
        <v>152</v>
      </c>
      <c r="Z28" s="29" t="s">
        <v>666</v>
      </c>
      <c r="AA28" s="29" t="s">
        <v>667</v>
      </c>
      <c r="AB28" s="29" t="s">
        <v>665</v>
      </c>
      <c r="AC28" s="2">
        <f t="shared" si="0"/>
        <v>1</v>
      </c>
      <c r="AD28" s="2">
        <f>IF(AC28=1,COUNTIF($AC$2:AC28,1),"")</f>
        <v>24</v>
      </c>
      <c r="AE28" s="2" t="str">
        <f>IFERROR(INDEX($Y$2:$Y$253,MATCH(ROWS($AD$2:AD28),$AD$2:$AD$253,0)),"")</f>
        <v>Bosnia and Herzegovina</v>
      </c>
    </row>
    <row r="29" spans="1:32" x14ac:dyDescent="0.25">
      <c r="O29" s="2">
        <f t="shared" ca="1" si="1"/>
        <v>2016</v>
      </c>
      <c r="Y29" s="29" t="s">
        <v>51</v>
      </c>
      <c r="Z29" s="29" t="s">
        <v>301</v>
      </c>
      <c r="AA29" s="29" t="s">
        <v>302</v>
      </c>
      <c r="AB29" s="29" t="s">
        <v>291</v>
      </c>
      <c r="AC29" s="2">
        <f t="shared" si="0"/>
        <v>1</v>
      </c>
      <c r="AD29" s="2">
        <f>IF(AC29=1,COUNTIF($AC$2:AC29,1),"")</f>
        <v>25</v>
      </c>
      <c r="AE29" s="2" t="str">
        <f>IFERROR(INDEX($Y$2:$Y$253,MATCH(ROWS($AD$2:AD29),$AD$2:$AD$253,0)),"")</f>
        <v>Botswana</v>
      </c>
    </row>
    <row r="30" spans="1:32" x14ac:dyDescent="0.25">
      <c r="O30" s="2">
        <f t="shared" ca="1" si="1"/>
        <v>2015</v>
      </c>
      <c r="Y30" s="29" t="s">
        <v>527</v>
      </c>
      <c r="Z30" s="29" t="s">
        <v>528</v>
      </c>
      <c r="AA30" s="29" t="s">
        <v>529</v>
      </c>
      <c r="AB30" s="29" t="s">
        <v>291</v>
      </c>
      <c r="AC30" s="2">
        <f t="shared" si="0"/>
        <v>1</v>
      </c>
      <c r="AD30" s="2">
        <f>IF(AC30=1,COUNTIF($AC$2:AC30,1),"")</f>
        <v>26</v>
      </c>
      <c r="AE30" s="2" t="str">
        <f>IFERROR(INDEX($Y$2:$Y$253,MATCH(ROWS($AD$2:AD30),$AD$2:$AD$253,0)),"")</f>
        <v>Bouvet Island</v>
      </c>
    </row>
    <row r="31" spans="1:32" x14ac:dyDescent="0.25">
      <c r="O31" s="2">
        <f t="shared" ca="1" si="1"/>
        <v>2014</v>
      </c>
      <c r="Y31" s="29" t="s">
        <v>108</v>
      </c>
      <c r="Z31" s="29" t="s">
        <v>422</v>
      </c>
      <c r="AA31" s="29" t="s">
        <v>423</v>
      </c>
      <c r="AB31" s="29" t="s">
        <v>409</v>
      </c>
      <c r="AC31" s="2">
        <f t="shared" si="0"/>
        <v>1</v>
      </c>
      <c r="AD31" s="2">
        <f>IF(AC31=1,COUNTIF($AC$2:AC31,1),"")</f>
        <v>27</v>
      </c>
      <c r="AE31" s="2" t="str">
        <f>IFERROR(INDEX($Y$2:$Y$253,MATCH(ROWS($AD$2:AD31),$AD$2:$AD$253,0)),"")</f>
        <v>Brazil</v>
      </c>
    </row>
    <row r="32" spans="1:32" x14ac:dyDescent="0.25">
      <c r="O32" s="2">
        <f t="shared" ca="1" si="1"/>
        <v>2013</v>
      </c>
      <c r="Y32" s="29" t="s">
        <v>9</v>
      </c>
      <c r="Z32" s="29" t="s">
        <v>197</v>
      </c>
      <c r="AA32" s="29" t="s">
        <v>198</v>
      </c>
      <c r="AB32" s="29" t="s">
        <v>193</v>
      </c>
      <c r="AC32" s="2">
        <f t="shared" si="0"/>
        <v>1</v>
      </c>
      <c r="AD32" s="2">
        <f>IF(AC32=1,COUNTIF($AC$2:AC32,1),"")</f>
        <v>28</v>
      </c>
      <c r="AE32" s="2" t="str">
        <f>IFERROR(INDEX($Y$2:$Y$253,MATCH(ROWS($AD$2:AD32),$AD$2:$AD$253,0)),"")</f>
        <v>British Indian Ocean Territory</v>
      </c>
    </row>
    <row r="33" spans="15:31" x14ac:dyDescent="0.25">
      <c r="O33" s="2">
        <f t="shared" ca="1" si="1"/>
        <v>2012</v>
      </c>
      <c r="Y33" s="29" t="s">
        <v>780</v>
      </c>
      <c r="Z33" s="29" t="s">
        <v>781</v>
      </c>
      <c r="AA33" s="29" t="s">
        <v>782</v>
      </c>
      <c r="AB33" s="29" t="s">
        <v>517</v>
      </c>
      <c r="AC33" s="2">
        <f t="shared" si="0"/>
        <v>1</v>
      </c>
      <c r="AD33" s="2">
        <f>IF(AC33=1,COUNTIF($AC$2:AC33,1),"")</f>
        <v>29</v>
      </c>
      <c r="AE33" s="2" t="str">
        <f>IFERROR(INDEX($Y$2:$Y$253,MATCH(ROWS($AD$2:AD33),$AD$2:$AD$253,0)),"")</f>
        <v>British Virgin Islands</v>
      </c>
    </row>
    <row r="34" spans="15:31" x14ac:dyDescent="0.25">
      <c r="O34" s="2">
        <f t="shared" ca="1" si="1"/>
        <v>2011</v>
      </c>
      <c r="Y34" s="29" t="s">
        <v>52</v>
      </c>
      <c r="Z34" s="29" t="s">
        <v>303</v>
      </c>
      <c r="AA34" s="29" t="s">
        <v>304</v>
      </c>
      <c r="AB34" s="29" t="s">
        <v>291</v>
      </c>
      <c r="AC34" s="2">
        <f t="shared" si="0"/>
        <v>1</v>
      </c>
      <c r="AD34" s="2">
        <f>IF(AC34=1,COUNTIF($AC$2:AC34,1),"")</f>
        <v>30</v>
      </c>
      <c r="AE34" s="2" t="str">
        <f>IFERROR(INDEX($Y$2:$Y$253,MATCH(ROWS($AD$2:AD34),$AD$2:$AD$253,0)),"")</f>
        <v>Brunei Darussalam</v>
      </c>
    </row>
    <row r="35" spans="15:31" x14ac:dyDescent="0.25">
      <c r="O35" s="2">
        <f t="shared" ca="1" si="1"/>
        <v>2010</v>
      </c>
      <c r="Y35" s="29" t="s">
        <v>783</v>
      </c>
      <c r="Z35" s="29" t="s">
        <v>784</v>
      </c>
      <c r="AA35" s="29" t="s">
        <v>785</v>
      </c>
      <c r="AB35" s="29" t="s">
        <v>517</v>
      </c>
      <c r="AC35" s="2">
        <f t="shared" si="0"/>
        <v>1</v>
      </c>
      <c r="AD35" s="2">
        <f>IF(AC35=1,COUNTIF($AC$2:AC35,1),"")</f>
        <v>31</v>
      </c>
      <c r="AE35" s="2" t="str">
        <f>IFERROR(INDEX($Y$2:$Y$253,MATCH(ROWS($AD$2:AD35),$AD$2:$AD$253,0)),"")</f>
        <v>Bulgaria</v>
      </c>
    </row>
    <row r="36" spans="15:31" x14ac:dyDescent="0.25">
      <c r="O36" s="2">
        <f t="shared" ca="1" si="1"/>
        <v>2009</v>
      </c>
      <c r="Y36" s="29" t="s">
        <v>530</v>
      </c>
      <c r="Z36" s="29" t="s">
        <v>531</v>
      </c>
      <c r="AA36" s="29" t="s">
        <v>532</v>
      </c>
      <c r="AB36" s="29" t="s">
        <v>291</v>
      </c>
      <c r="AC36" s="2">
        <f t="shared" si="0"/>
        <v>1</v>
      </c>
      <c r="AD36" s="2">
        <f>IF(AC36=1,COUNTIF($AC$2:AC36,1),"")</f>
        <v>32</v>
      </c>
      <c r="AE36" s="2" t="str">
        <f>IFERROR(INDEX($Y$2:$Y$253,MATCH(ROWS($AD$2:AD36),$AD$2:$AD$253,0)),"")</f>
        <v>Burkina Faso</v>
      </c>
    </row>
    <row r="37" spans="15:31" x14ac:dyDescent="0.25">
      <c r="O37" s="2">
        <f t="shared" ca="1" si="1"/>
        <v>2008</v>
      </c>
      <c r="Y37" s="29" t="s">
        <v>163</v>
      </c>
      <c r="Z37" s="29" t="s">
        <v>689</v>
      </c>
      <c r="AA37" s="29" t="s">
        <v>690</v>
      </c>
      <c r="AB37" s="29" t="s">
        <v>688</v>
      </c>
      <c r="AC37" s="2">
        <f t="shared" si="0"/>
        <v>1</v>
      </c>
      <c r="AD37" s="2">
        <f>IF(AC37=1,COUNTIF($AC$2:AC37,1),"")</f>
        <v>33</v>
      </c>
      <c r="AE37" s="2" t="str">
        <f>IFERROR(INDEX($Y$2:$Y$253,MATCH(ROWS($AD$2:AD37),$AD$2:$AD$253,0)),"")</f>
        <v>Burundi</v>
      </c>
    </row>
    <row r="38" spans="15:31" x14ac:dyDescent="0.25">
      <c r="O38" s="2">
        <f t="shared" ca="1" si="1"/>
        <v>2007</v>
      </c>
      <c r="Y38" s="29" t="s">
        <v>109</v>
      </c>
      <c r="Z38" s="29" t="s">
        <v>424</v>
      </c>
      <c r="AA38" s="29" t="s">
        <v>425</v>
      </c>
      <c r="AB38" s="29" t="s">
        <v>409</v>
      </c>
      <c r="AC38" s="2">
        <f t="shared" si="0"/>
        <v>1</v>
      </c>
      <c r="AD38" s="2">
        <f>IF(AC38=1,COUNTIF($AC$2:AC38,1),"")</f>
        <v>34</v>
      </c>
      <c r="AE38" s="2" t="str">
        <f>IFERROR(INDEX($Y$2:$Y$253,MATCH(ROWS($AD$2:AD38),$AD$2:$AD$253,0)),"")</f>
        <v>Cabo Verde</v>
      </c>
    </row>
    <row r="39" spans="15:31" x14ac:dyDescent="0.25">
      <c r="O39" s="2">
        <f t="shared" ca="1" si="1"/>
        <v>2006</v>
      </c>
      <c r="Y39" s="29" t="s">
        <v>10</v>
      </c>
      <c r="Z39" s="29" t="s">
        <v>199</v>
      </c>
      <c r="AA39" s="29" t="s">
        <v>200</v>
      </c>
      <c r="AB39" s="29" t="s">
        <v>193</v>
      </c>
      <c r="AC39" s="2">
        <f t="shared" si="0"/>
        <v>1</v>
      </c>
      <c r="AD39" s="2">
        <f>IF(AC39=1,COUNTIF($AC$2:AC39,1),"")</f>
        <v>35</v>
      </c>
      <c r="AE39" s="2" t="str">
        <f>IFERROR(INDEX($Y$2:$Y$253,MATCH(ROWS($AD$2:AD39),$AD$2:$AD$253,0)),"")</f>
        <v>Cambodia</v>
      </c>
    </row>
    <row r="40" spans="15:31" x14ac:dyDescent="0.25">
      <c r="O40" s="2">
        <f t="shared" ca="1" si="1"/>
        <v>2005</v>
      </c>
      <c r="Y40" s="29" t="s">
        <v>11</v>
      </c>
      <c r="Z40" s="29" t="s">
        <v>201</v>
      </c>
      <c r="AA40" s="29" t="s">
        <v>202</v>
      </c>
      <c r="AB40" s="29" t="s">
        <v>193</v>
      </c>
      <c r="AC40" s="2">
        <f t="shared" si="0"/>
        <v>1</v>
      </c>
      <c r="AD40" s="2">
        <f>IF(AC40=1,COUNTIF($AC$2:AC40,1),"")</f>
        <v>36</v>
      </c>
      <c r="AE40" s="2" t="str">
        <f>IFERROR(INDEX($Y$2:$Y$253,MATCH(ROWS($AD$2:AD40),$AD$2:$AD$253,0)),"")</f>
        <v>Cameroon</v>
      </c>
    </row>
    <row r="41" spans="15:31" x14ac:dyDescent="0.25">
      <c r="O41" s="2">
        <f t="shared" ca="1" si="1"/>
        <v>2004</v>
      </c>
      <c r="Y41" s="29" t="s">
        <v>203</v>
      </c>
      <c r="Z41" s="29" t="s">
        <v>204</v>
      </c>
      <c r="AA41" s="29" t="s">
        <v>205</v>
      </c>
      <c r="AB41" s="29" t="s">
        <v>193</v>
      </c>
      <c r="AC41" s="2">
        <f t="shared" si="0"/>
        <v>1</v>
      </c>
      <c r="AD41" s="2">
        <f>IF(AC41=1,COUNTIF($AC$2:AC41,1),"")</f>
        <v>37</v>
      </c>
      <c r="AE41" s="2" t="str">
        <f>IFERROR(INDEX($Y$2:$Y$253,MATCH(ROWS($AD$2:AD41),$AD$2:$AD$253,0)),"")</f>
        <v>Canada</v>
      </c>
    </row>
    <row r="42" spans="15:31" x14ac:dyDescent="0.25">
      <c r="O42" s="2">
        <f t="shared" ca="1" si="1"/>
        <v>2003</v>
      </c>
      <c r="Y42" s="29" t="s">
        <v>164</v>
      </c>
      <c r="Z42" s="29" t="s">
        <v>691</v>
      </c>
      <c r="AA42" s="29" t="s">
        <v>692</v>
      </c>
      <c r="AB42" s="29" t="s">
        <v>688</v>
      </c>
      <c r="AC42" s="2">
        <f t="shared" si="0"/>
        <v>1</v>
      </c>
      <c r="AD42" s="2">
        <f>IF(AC42=1,COUNTIF($AC$2:AC42,1),"")</f>
        <v>38</v>
      </c>
      <c r="AE42" s="2" t="str">
        <f>IFERROR(INDEX($Y$2:$Y$253,MATCH(ROWS($AD$2:AD42),$AD$2:$AD$253,0)),"")</f>
        <v>Cayman Islands</v>
      </c>
    </row>
    <row r="43" spans="15:31" x14ac:dyDescent="0.25">
      <c r="O43" s="2">
        <f ca="1">O44+1</f>
        <v>2002</v>
      </c>
      <c r="Y43" s="29" t="s">
        <v>12</v>
      </c>
      <c r="Z43" s="29" t="s">
        <v>206</v>
      </c>
      <c r="AA43" s="29" t="s">
        <v>207</v>
      </c>
      <c r="AB43" s="29" t="s">
        <v>193</v>
      </c>
      <c r="AC43" s="2">
        <f t="shared" si="0"/>
        <v>1</v>
      </c>
      <c r="AD43" s="2">
        <f>IF(AC43=1,COUNTIF($AC$2:AC43,1),"")</f>
        <v>39</v>
      </c>
      <c r="AE43" s="2" t="str">
        <f>IFERROR(INDEX($Y$2:$Y$253,MATCH(ROWS($AD$2:AD43),$AD$2:$AD$253,0)),"")</f>
        <v>Central African Republic</v>
      </c>
    </row>
    <row r="44" spans="15:31" x14ac:dyDescent="0.25">
      <c r="O44" s="2">
        <f ca="1">YEAR(TODAY())-20</f>
        <v>2001</v>
      </c>
      <c r="Y44" s="29" t="s">
        <v>53</v>
      </c>
      <c r="Z44" s="29" t="s">
        <v>305</v>
      </c>
      <c r="AA44" s="29" t="s">
        <v>306</v>
      </c>
      <c r="AB44" s="29" t="s">
        <v>291</v>
      </c>
      <c r="AC44" s="2">
        <f t="shared" si="0"/>
        <v>1</v>
      </c>
      <c r="AD44" s="2">
        <f>IF(AC44=1,COUNTIF($AC$2:AC44,1),"")</f>
        <v>40</v>
      </c>
      <c r="AE44" s="2" t="str">
        <f>IFERROR(INDEX($Y$2:$Y$253,MATCH(ROWS($AD$2:AD44),$AD$2:$AD$253,0)),"")</f>
        <v>Chad</v>
      </c>
    </row>
    <row r="45" spans="15:31" x14ac:dyDescent="0.25">
      <c r="Y45" s="29" t="s">
        <v>533</v>
      </c>
      <c r="Z45" s="29" t="s">
        <v>534</v>
      </c>
      <c r="AA45" s="29" t="s">
        <v>535</v>
      </c>
      <c r="AB45" s="29" t="s">
        <v>291</v>
      </c>
      <c r="AC45" s="2">
        <f t="shared" si="0"/>
        <v>1</v>
      </c>
      <c r="AD45" s="2">
        <f>IF(AC45=1,COUNTIF($AC$2:AC45,1),"")</f>
        <v>41</v>
      </c>
      <c r="AE45" s="2" t="str">
        <f>IFERROR(INDEX($Y$2:$Y$253,MATCH(ROWS($AD$2:AD45),$AD$2:$AD$253,0)),"")</f>
        <v>Chile</v>
      </c>
    </row>
    <row r="46" spans="15:31" x14ac:dyDescent="0.25">
      <c r="Y46" s="29" t="s">
        <v>13</v>
      </c>
      <c r="Z46" s="29" t="s">
        <v>208</v>
      </c>
      <c r="AA46" s="29" t="s">
        <v>209</v>
      </c>
      <c r="AB46" s="29" t="s">
        <v>193</v>
      </c>
      <c r="AC46" s="2">
        <f t="shared" si="0"/>
        <v>1</v>
      </c>
      <c r="AD46" s="2">
        <f>IF(AC46=1,COUNTIF($AC$2:AC46,1),"")</f>
        <v>42</v>
      </c>
      <c r="AE46" s="2" t="str">
        <f>IFERROR(INDEX($Y$2:$Y$253,MATCH(ROWS($AD$2:AD46),$AD$2:$AD$253,0)),"")</f>
        <v>China</v>
      </c>
    </row>
    <row r="47" spans="15:31" x14ac:dyDescent="0.25">
      <c r="Y47" s="29" t="s">
        <v>14</v>
      </c>
      <c r="Z47" s="29" t="s">
        <v>210</v>
      </c>
      <c r="AA47" s="29" t="s">
        <v>211</v>
      </c>
      <c r="AB47" s="29" t="s">
        <v>193</v>
      </c>
      <c r="AC47" s="2">
        <f t="shared" si="0"/>
        <v>1</v>
      </c>
      <c r="AD47" s="2">
        <f>IF(AC47=1,COUNTIF($AC$2:AC47,1),"")</f>
        <v>43</v>
      </c>
      <c r="AE47" s="2" t="str">
        <f>IFERROR(INDEX($Y$2:$Y$253,MATCH(ROWS($AD$2:AD47),$AD$2:$AD$253,0)),"")</f>
        <v>China, Hong Kong SAR</v>
      </c>
    </row>
    <row r="48" spans="15:31" x14ac:dyDescent="0.25">
      <c r="Y48" s="29" t="s">
        <v>54</v>
      </c>
      <c r="Z48" s="29" t="s">
        <v>307</v>
      </c>
      <c r="AA48" s="29" t="s">
        <v>308</v>
      </c>
      <c r="AB48" s="29" t="s">
        <v>291</v>
      </c>
      <c r="AC48" s="2">
        <f t="shared" si="0"/>
        <v>1</v>
      </c>
      <c r="AD48" s="2">
        <f>IF(AC48=1,COUNTIF($AC$2:AC48,1),"")</f>
        <v>44</v>
      </c>
      <c r="AE48" s="2" t="str">
        <f>IFERROR(INDEX($Y$2:$Y$253,MATCH(ROWS($AD$2:AD48),$AD$2:$AD$253,0)),"")</f>
        <v>China, Macao SAR</v>
      </c>
    </row>
    <row r="49" spans="25:31" x14ac:dyDescent="0.25">
      <c r="Y49" s="29" t="s">
        <v>693</v>
      </c>
      <c r="Z49" s="29" t="s">
        <v>694</v>
      </c>
      <c r="AA49" s="29" t="s">
        <v>695</v>
      </c>
      <c r="AB49" s="29" t="s">
        <v>688</v>
      </c>
      <c r="AC49" s="2">
        <f t="shared" si="0"/>
        <v>1</v>
      </c>
      <c r="AD49" s="2">
        <f>IF(AC49=1,COUNTIF($AC$2:AC49,1),"")</f>
        <v>45</v>
      </c>
      <c r="AE49" s="2" t="str">
        <f>IFERROR(INDEX($Y$2:$Y$253,MATCH(ROWS($AD$2:AD49),$AD$2:$AD$253,0)),"")</f>
        <v>China, Province of Taiwan</v>
      </c>
    </row>
    <row r="50" spans="25:31" x14ac:dyDescent="0.25">
      <c r="Y50" s="29" t="s">
        <v>786</v>
      </c>
      <c r="Z50" s="29" t="s">
        <v>536</v>
      </c>
      <c r="AA50" s="29" t="s">
        <v>537</v>
      </c>
      <c r="AB50" s="29" t="s">
        <v>688</v>
      </c>
      <c r="AC50" s="2">
        <f t="shared" si="0"/>
        <v>1</v>
      </c>
      <c r="AD50" s="2">
        <f>IF(AC50=1,COUNTIF($AC$2:AC50,1),"")</f>
        <v>46</v>
      </c>
      <c r="AE50" s="2" t="str">
        <f>IFERROR(INDEX($Y$2:$Y$253,MATCH(ROWS($AD$2:AD50),$AD$2:$AD$253,0)),"")</f>
        <v>China: Province of Taiwan only</v>
      </c>
    </row>
    <row r="51" spans="25:31" x14ac:dyDescent="0.25">
      <c r="Y51" s="29" t="s">
        <v>787</v>
      </c>
      <c r="Z51" s="29" t="s">
        <v>538</v>
      </c>
      <c r="AA51" s="29" t="s">
        <v>539</v>
      </c>
      <c r="AB51" s="29" t="s">
        <v>688</v>
      </c>
      <c r="AC51" s="2">
        <f t="shared" si="0"/>
        <v>1</v>
      </c>
      <c r="AD51" s="2">
        <f>IF(AC51=1,COUNTIF($AC$2:AC51,1),"")</f>
        <v>47</v>
      </c>
      <c r="AE51" s="2" t="str">
        <f>IFERROR(INDEX($Y$2:$Y$253,MATCH(ROWS($AD$2:AD51),$AD$2:$AD$253,0)),"")</f>
        <v>Christmas Island</v>
      </c>
    </row>
    <row r="52" spans="25:31" x14ac:dyDescent="0.25">
      <c r="Y52" s="29" t="s">
        <v>788</v>
      </c>
      <c r="Z52" s="29" t="s">
        <v>789</v>
      </c>
      <c r="AA52" s="29" t="s">
        <v>790</v>
      </c>
      <c r="AB52" s="29" t="s">
        <v>517</v>
      </c>
      <c r="AC52" s="2">
        <f t="shared" si="0"/>
        <v>1</v>
      </c>
      <c r="AD52" s="2">
        <f>IF(AC52=1,COUNTIF($AC$2:AC52,1),"")</f>
        <v>48</v>
      </c>
      <c r="AE52" s="2" t="str">
        <f>IFERROR(INDEX($Y$2:$Y$253,MATCH(ROWS($AD$2:AD52),$AD$2:$AD$253,0)),"")</f>
        <v>Cocos (Keeling) Islands</v>
      </c>
    </row>
    <row r="53" spans="25:31" x14ac:dyDescent="0.25">
      <c r="Y53" s="29" t="s">
        <v>540</v>
      </c>
      <c r="Z53" s="29" t="s">
        <v>541</v>
      </c>
      <c r="AA53" s="29" t="s">
        <v>542</v>
      </c>
      <c r="AB53" s="29" t="s">
        <v>517</v>
      </c>
      <c r="AC53" s="2">
        <f t="shared" si="0"/>
        <v>1</v>
      </c>
      <c r="AD53" s="2">
        <f>IF(AC53=1,COUNTIF($AC$2:AC53,1),"")</f>
        <v>49</v>
      </c>
      <c r="AE53" s="2" t="str">
        <f>IFERROR(INDEX($Y$2:$Y$253,MATCH(ROWS($AD$2:AD53),$AD$2:$AD$253,0)),"")</f>
        <v>Colombia</v>
      </c>
    </row>
    <row r="54" spans="25:31" x14ac:dyDescent="0.25">
      <c r="Y54" s="29" t="s">
        <v>791</v>
      </c>
      <c r="Z54" s="29" t="s">
        <v>792</v>
      </c>
      <c r="AA54" s="29" t="s">
        <v>793</v>
      </c>
      <c r="AB54" s="29" t="s">
        <v>517</v>
      </c>
      <c r="AC54" s="2">
        <f t="shared" si="0"/>
        <v>1</v>
      </c>
      <c r="AD54" s="2">
        <f>IF(AC54=1,COUNTIF($AC$2:AC54,1),"")</f>
        <v>50</v>
      </c>
      <c r="AE54" s="2" t="str">
        <f>IFERROR(INDEX($Y$2:$Y$253,MATCH(ROWS($AD$2:AD54),$AD$2:$AD$253,0)),"")</f>
        <v>Comoros</v>
      </c>
    </row>
    <row r="55" spans="25:31" x14ac:dyDescent="0.25">
      <c r="Y55" s="29" t="s">
        <v>794</v>
      </c>
      <c r="Z55" s="29" t="s">
        <v>795</v>
      </c>
      <c r="AA55" s="29" t="s">
        <v>796</v>
      </c>
      <c r="AB55" s="29" t="s">
        <v>517</v>
      </c>
      <c r="AC55" s="2">
        <f t="shared" si="0"/>
        <v>1</v>
      </c>
      <c r="AD55" s="2">
        <f>IF(AC55=1,COUNTIF($AC$2:AC55,1),"")</f>
        <v>51</v>
      </c>
      <c r="AE55" s="2" t="str">
        <f>IFERROR(INDEX($Y$2:$Y$253,MATCH(ROWS($AD$2:AD55),$AD$2:$AD$253,0)),"")</f>
        <v>Congo</v>
      </c>
    </row>
    <row r="56" spans="25:31" x14ac:dyDescent="0.25">
      <c r="Y56" s="29" t="s">
        <v>55</v>
      </c>
      <c r="Z56" s="29" t="s">
        <v>309</v>
      </c>
      <c r="AA56" s="29" t="s">
        <v>310</v>
      </c>
      <c r="AB56" s="29" t="s">
        <v>291</v>
      </c>
      <c r="AC56" s="2">
        <f t="shared" si="0"/>
        <v>1</v>
      </c>
      <c r="AD56" s="2">
        <f>IF(AC56=1,COUNTIF($AC$2:AC56,1),"")</f>
        <v>52</v>
      </c>
      <c r="AE56" s="2" t="str">
        <f>IFERROR(INDEX($Y$2:$Y$253,MATCH(ROWS($AD$2:AD56),$AD$2:$AD$253,0)),"")</f>
        <v>Cook Islands</v>
      </c>
    </row>
    <row r="57" spans="25:31" x14ac:dyDescent="0.25">
      <c r="Y57" s="29" t="s">
        <v>212</v>
      </c>
      <c r="Z57" s="29" t="s">
        <v>213</v>
      </c>
      <c r="AA57" s="29" t="s">
        <v>214</v>
      </c>
      <c r="AB57" s="29" t="s">
        <v>193</v>
      </c>
      <c r="AC57" s="2">
        <f t="shared" si="0"/>
        <v>1</v>
      </c>
      <c r="AD57" s="2">
        <f>IF(AC57=1,COUNTIF($AC$2:AC57,1),"")</f>
        <v>53</v>
      </c>
      <c r="AE57" s="2" t="str">
        <f>IFERROR(INDEX($Y$2:$Y$253,MATCH(ROWS($AD$2:AD57),$AD$2:$AD$253,0)),"")</f>
        <v>Costa Rica</v>
      </c>
    </row>
    <row r="58" spans="25:31" x14ac:dyDescent="0.25">
      <c r="Y58" s="29" t="s">
        <v>215</v>
      </c>
      <c r="Z58" s="29" t="s">
        <v>216</v>
      </c>
      <c r="AA58" s="29" t="s">
        <v>217</v>
      </c>
      <c r="AB58" s="29" t="s">
        <v>193</v>
      </c>
      <c r="AC58" s="2">
        <f t="shared" si="0"/>
        <v>1</v>
      </c>
      <c r="AD58" s="2">
        <f>IF(AC58=1,COUNTIF($AC$2:AC58,1),"")</f>
        <v>54</v>
      </c>
      <c r="AE58" s="2" t="str">
        <f>IFERROR(INDEX($Y$2:$Y$253,MATCH(ROWS($AD$2:AD58),$AD$2:$AD$253,0)),"")</f>
        <v>Croatia</v>
      </c>
    </row>
    <row r="59" spans="25:31" x14ac:dyDescent="0.25">
      <c r="Y59" s="29" t="s">
        <v>165</v>
      </c>
      <c r="Z59" s="29" t="s">
        <v>696</v>
      </c>
      <c r="AA59" s="29" t="s">
        <v>697</v>
      </c>
      <c r="AB59" s="29" t="s">
        <v>688</v>
      </c>
      <c r="AC59" s="2">
        <f t="shared" si="0"/>
        <v>1</v>
      </c>
      <c r="AD59" s="2">
        <f>IF(AC59=1,COUNTIF($AC$2:AC59,1),"")</f>
        <v>55</v>
      </c>
      <c r="AE59" s="2" t="str">
        <f>IFERROR(INDEX($Y$2:$Y$253,MATCH(ROWS($AD$2:AD59),$AD$2:$AD$253,0)),"")</f>
        <v>Cuba</v>
      </c>
    </row>
    <row r="60" spans="25:31" x14ac:dyDescent="0.25">
      <c r="Y60" s="29" t="s">
        <v>56</v>
      </c>
      <c r="Z60" s="29" t="s">
        <v>311</v>
      </c>
      <c r="AA60" s="29" t="s">
        <v>312</v>
      </c>
      <c r="AB60" s="29" t="s">
        <v>291</v>
      </c>
      <c r="AC60" s="2">
        <f t="shared" si="0"/>
        <v>1</v>
      </c>
      <c r="AD60" s="2">
        <f>IF(AC60=1,COUNTIF($AC$2:AC60,1),"")</f>
        <v>56</v>
      </c>
      <c r="AE60" s="2" t="str">
        <f>IFERROR(INDEX($Y$2:$Y$253,MATCH(ROWS($AD$2:AD60),$AD$2:$AD$253,0)),"")</f>
        <v>Curaçao</v>
      </c>
    </row>
    <row r="61" spans="25:31" x14ac:dyDescent="0.25">
      <c r="Y61" s="29" t="s">
        <v>110</v>
      </c>
      <c r="Z61" s="29" t="s">
        <v>426</v>
      </c>
      <c r="AA61" s="29" t="s">
        <v>427</v>
      </c>
      <c r="AB61" s="29" t="s">
        <v>409</v>
      </c>
      <c r="AC61" s="2">
        <f t="shared" si="0"/>
        <v>1</v>
      </c>
      <c r="AD61" s="2">
        <f>IF(AC61=1,COUNTIF($AC$2:AC61,1),"")</f>
        <v>57</v>
      </c>
      <c r="AE61" s="2" t="str">
        <f>IFERROR(INDEX($Y$2:$Y$253,MATCH(ROWS($AD$2:AD61),$AD$2:$AD$253,0)),"")</f>
        <v>Cyprus</v>
      </c>
    </row>
    <row r="62" spans="25:31" x14ac:dyDescent="0.25">
      <c r="Y62" s="29" t="s">
        <v>57</v>
      </c>
      <c r="Z62" s="29" t="s">
        <v>313</v>
      </c>
      <c r="AA62" s="29" t="s">
        <v>314</v>
      </c>
      <c r="AB62" s="29" t="s">
        <v>291</v>
      </c>
      <c r="AC62" s="2">
        <f t="shared" si="0"/>
        <v>1</v>
      </c>
      <c r="AD62" s="2">
        <f>IF(AC62=1,COUNTIF($AC$2:AC62,1),"")</f>
        <v>58</v>
      </c>
      <c r="AE62" s="2" t="str">
        <f>IFERROR(INDEX($Y$2:$Y$253,MATCH(ROWS($AD$2:AD62),$AD$2:$AD$253,0)),"")</f>
        <v>Czechia</v>
      </c>
    </row>
    <row r="63" spans="25:31" x14ac:dyDescent="0.25">
      <c r="Y63" s="29" t="s">
        <v>797</v>
      </c>
      <c r="Z63" s="29" t="s">
        <v>543</v>
      </c>
      <c r="AA63" s="29" t="s">
        <v>544</v>
      </c>
      <c r="AB63" s="29" t="s">
        <v>291</v>
      </c>
      <c r="AC63" s="2">
        <f t="shared" si="0"/>
        <v>1</v>
      </c>
      <c r="AD63" s="2">
        <f>IF(AC63=1,COUNTIF($AC$2:AC63,1),"")</f>
        <v>59</v>
      </c>
      <c r="AE63" s="2" t="str">
        <f>IFERROR(INDEX($Y$2:$Y$253,MATCH(ROWS($AD$2:AD63),$AD$2:$AD$253,0)),"")</f>
        <v>Czechoslovakia, Former</v>
      </c>
    </row>
    <row r="64" spans="25:31" x14ac:dyDescent="0.25">
      <c r="Y64" s="29" t="s">
        <v>111</v>
      </c>
      <c r="Z64" s="29" t="s">
        <v>428</v>
      </c>
      <c r="AA64" s="29" t="s">
        <v>429</v>
      </c>
      <c r="AB64" s="29" t="s">
        <v>409</v>
      </c>
      <c r="AC64" s="2">
        <f t="shared" si="0"/>
        <v>1</v>
      </c>
      <c r="AD64" s="2">
        <f>IF(AC64=1,COUNTIF($AC$2:AC64,1),"")</f>
        <v>60</v>
      </c>
      <c r="AE64" s="2" t="str">
        <f>IFERROR(INDEX($Y$2:$Y$253,MATCH(ROWS($AD$2:AD64),$AD$2:$AD$253,0)),"")</f>
        <v>Côte d'Ivoire</v>
      </c>
    </row>
    <row r="65" spans="25:31" x14ac:dyDescent="0.25">
      <c r="Y65" s="29" t="s">
        <v>798</v>
      </c>
      <c r="Z65" s="29" t="s">
        <v>430</v>
      </c>
      <c r="AA65" s="29" t="s">
        <v>431</v>
      </c>
      <c r="AB65" s="29" t="s">
        <v>409</v>
      </c>
      <c r="AC65" s="2">
        <f t="shared" si="0"/>
        <v>1</v>
      </c>
      <c r="AD65" s="2">
        <f>IF(AC65=1,COUNTIF($AC$2:AC65,1),"")</f>
        <v>61</v>
      </c>
      <c r="AE65" s="2" t="str">
        <f>IFERROR(INDEX($Y$2:$Y$253,MATCH(ROWS($AD$2:AD65),$AD$2:$AD$253,0)),"")</f>
        <v>Democratic People's Republic of Korea</v>
      </c>
    </row>
    <row r="66" spans="25:31" x14ac:dyDescent="0.25">
      <c r="Y66" s="29" t="s">
        <v>545</v>
      </c>
      <c r="Z66" s="29" t="s">
        <v>546</v>
      </c>
      <c r="AA66" s="29" t="s">
        <v>547</v>
      </c>
      <c r="AB66" s="29" t="s">
        <v>517</v>
      </c>
      <c r="AC66" s="2">
        <f t="shared" ref="AC66:AC132" si="2">--ISNUMBER(IFERROR(SEARCH($V$1,Y66,1),""))</f>
        <v>1</v>
      </c>
      <c r="AD66" s="2">
        <f>IF(AC66=1,COUNTIF($AC$2:AC66,1),"")</f>
        <v>62</v>
      </c>
      <c r="AE66" s="2" t="str">
        <f>IFERROR(INDEX($Y$2:$Y$253,MATCH(ROWS($AD$2:AD66),$AD$2:$AD$253,0)),"")</f>
        <v>Democratic Republic of the Congo</v>
      </c>
    </row>
    <row r="67" spans="25:31" x14ac:dyDescent="0.25">
      <c r="Y67" s="29" t="s">
        <v>799</v>
      </c>
      <c r="Z67" s="29" t="s">
        <v>218</v>
      </c>
      <c r="AA67" s="29" t="s">
        <v>219</v>
      </c>
      <c r="AB67" s="29" t="s">
        <v>193</v>
      </c>
      <c r="AC67" s="2">
        <f t="shared" si="2"/>
        <v>1</v>
      </c>
      <c r="AD67" s="2">
        <f>IF(AC67=1,COUNTIF($AC$2:AC67,1),"")</f>
        <v>63</v>
      </c>
      <c r="AE67" s="2" t="str">
        <f>IFERROR(INDEX($Y$2:$Y$253,MATCH(ROWS($AD$2:AD67),$AD$2:$AD$253,0)),"")</f>
        <v>Denmark</v>
      </c>
    </row>
    <row r="68" spans="25:31" x14ac:dyDescent="0.25">
      <c r="Y68" s="29" t="s">
        <v>153</v>
      </c>
      <c r="Z68" s="29" t="s">
        <v>668</v>
      </c>
      <c r="AA68" s="29" t="s">
        <v>669</v>
      </c>
      <c r="AB68" s="29" t="s">
        <v>665</v>
      </c>
      <c r="AC68" s="2">
        <f t="shared" si="2"/>
        <v>1</v>
      </c>
      <c r="AD68" s="2">
        <f>IF(AC68=1,COUNTIF($AC$2:AC68,1),"")</f>
        <v>64</v>
      </c>
      <c r="AE68" s="2" t="str">
        <f>IFERROR(INDEX($Y$2:$Y$253,MATCH(ROWS($AD$2:AD68),$AD$2:$AD$253,0)),"")</f>
        <v>Djibouti</v>
      </c>
    </row>
    <row r="69" spans="25:31" x14ac:dyDescent="0.25">
      <c r="Y69" s="29" t="s">
        <v>15</v>
      </c>
      <c r="Z69" s="29" t="s">
        <v>220</v>
      </c>
      <c r="AA69" s="29" t="s">
        <v>221</v>
      </c>
      <c r="AB69" s="29" t="s">
        <v>193</v>
      </c>
      <c r="AC69" s="2">
        <f t="shared" si="2"/>
        <v>1</v>
      </c>
      <c r="AD69" s="2">
        <f>IF(AC69=1,COUNTIF($AC$2:AC69,1),"")</f>
        <v>65</v>
      </c>
      <c r="AE69" s="2" t="str">
        <f>IFERROR(INDEX($Y$2:$Y$253,MATCH(ROWS($AD$2:AD69),$AD$2:$AD$253,0)),"")</f>
        <v>Dominica</v>
      </c>
    </row>
    <row r="70" spans="25:31" x14ac:dyDescent="0.25">
      <c r="Y70" s="29" t="s">
        <v>112</v>
      </c>
      <c r="Z70" s="29" t="s">
        <v>432</v>
      </c>
      <c r="AA70" s="29" t="s">
        <v>433</v>
      </c>
      <c r="AB70" s="29" t="s">
        <v>409</v>
      </c>
      <c r="AC70" s="2">
        <f t="shared" si="2"/>
        <v>1</v>
      </c>
      <c r="AD70" s="2">
        <f>IF(AC70=1,COUNTIF($AC$2:AC70,1),"")</f>
        <v>66</v>
      </c>
      <c r="AE70" s="2" t="str">
        <f>IFERROR(INDEX($Y$2:$Y$253,MATCH(ROWS($AD$2:AD70),$AD$2:$AD$253,0)),"")</f>
        <v>Dominican Republic</v>
      </c>
    </row>
    <row r="71" spans="25:31" x14ac:dyDescent="0.25">
      <c r="Y71" s="2" t="s">
        <v>83</v>
      </c>
      <c r="Z71" s="2" t="s">
        <v>366</v>
      </c>
      <c r="AA71" s="2" t="s">
        <v>367</v>
      </c>
      <c r="AB71" s="2" t="s">
        <v>363</v>
      </c>
      <c r="AC71" s="2">
        <f t="shared" si="2"/>
        <v>1</v>
      </c>
      <c r="AD71" s="2">
        <f>IF(AC71=1,COUNTIF($AC$2:AC71,1),"")</f>
        <v>67</v>
      </c>
      <c r="AE71" s="2" t="str">
        <f>IFERROR(INDEX($Y$2:$Y$253,MATCH(ROWS($AD$2:AD71),$AD$2:$AD$253,0)),"")</f>
        <v>Ecuador</v>
      </c>
    </row>
    <row r="72" spans="25:31" x14ac:dyDescent="0.25">
      <c r="Y72" s="2" t="s">
        <v>58</v>
      </c>
      <c r="Z72" s="2" t="s">
        <v>315</v>
      </c>
      <c r="AA72" s="2" t="s">
        <v>316</v>
      </c>
      <c r="AB72" s="2" t="s">
        <v>291</v>
      </c>
      <c r="AC72" s="2">
        <f t="shared" si="2"/>
        <v>1</v>
      </c>
      <c r="AD72" s="2">
        <f>IF(AC72=1,COUNTIF($AC$2:AC72,1),"")</f>
        <v>68</v>
      </c>
      <c r="AE72" s="2" t="str">
        <f>IFERROR(INDEX($Y$2:$Y$253,MATCH(ROWS($AD$2:AD72),$AD$2:$AD$253,0)),"")</f>
        <v>Egypt</v>
      </c>
    </row>
    <row r="73" spans="25:31" x14ac:dyDescent="0.25">
      <c r="Y73" s="2" t="s">
        <v>59</v>
      </c>
      <c r="Z73" s="2" t="s">
        <v>317</v>
      </c>
      <c r="AA73" s="2" t="s">
        <v>318</v>
      </c>
      <c r="AB73" s="2" t="s">
        <v>291</v>
      </c>
      <c r="AC73" s="2">
        <f t="shared" si="2"/>
        <v>1</v>
      </c>
      <c r="AD73" s="2">
        <f>IF(AC73=1,COUNTIF($AC$2:AC73,1),"")</f>
        <v>69</v>
      </c>
      <c r="AE73" s="2" t="str">
        <f>IFERROR(INDEX($Y$2:$Y$253,MATCH(ROWS($AD$2:AD73),$AD$2:$AD$253,0)),"")</f>
        <v>El Salvador</v>
      </c>
    </row>
    <row r="74" spans="25:31" x14ac:dyDescent="0.25">
      <c r="Y74" s="2" t="s">
        <v>60</v>
      </c>
      <c r="Z74" s="2" t="s">
        <v>319</v>
      </c>
      <c r="AA74" s="2" t="s">
        <v>320</v>
      </c>
      <c r="AB74" s="2" t="s">
        <v>291</v>
      </c>
      <c r="AC74" s="2">
        <f t="shared" si="2"/>
        <v>1</v>
      </c>
      <c r="AD74" s="2">
        <f>IF(AC74=1,COUNTIF($AC$2:AC74,1),"")</f>
        <v>70</v>
      </c>
      <c r="AE74" s="2" t="str">
        <f>IFERROR(INDEX($Y$2:$Y$253,MATCH(ROWS($AD$2:AD74),$AD$2:$AD$253,0)),"")</f>
        <v>Equatorial Guinea</v>
      </c>
    </row>
    <row r="75" spans="25:31" x14ac:dyDescent="0.25">
      <c r="Y75" s="2" t="s">
        <v>84</v>
      </c>
      <c r="Z75" s="2" t="s">
        <v>368</v>
      </c>
      <c r="AA75" s="2" t="s">
        <v>369</v>
      </c>
      <c r="AB75" s="2" t="s">
        <v>363</v>
      </c>
      <c r="AC75" s="2">
        <f t="shared" si="2"/>
        <v>1</v>
      </c>
      <c r="AD75" s="2">
        <f>IF(AC75=1,COUNTIF($AC$2:AC75,1),"")</f>
        <v>71</v>
      </c>
      <c r="AE75" s="2" t="str">
        <f>IFERROR(INDEX($Y$2:$Y$253,MATCH(ROWS($AD$2:AD75),$AD$2:$AD$253,0)),"")</f>
        <v>Eritrea</v>
      </c>
    </row>
    <row r="76" spans="25:31" x14ac:dyDescent="0.25">
      <c r="Y76" s="2" t="s">
        <v>61</v>
      </c>
      <c r="Z76" s="2" t="s">
        <v>321</v>
      </c>
      <c r="AA76" s="2" t="s">
        <v>322</v>
      </c>
      <c r="AB76" s="2" t="s">
        <v>291</v>
      </c>
      <c r="AC76" s="2">
        <f t="shared" si="2"/>
        <v>1</v>
      </c>
      <c r="AD76" s="2">
        <f>IF(AC76=1,COUNTIF($AC$2:AC76,1),"")</f>
        <v>72</v>
      </c>
      <c r="AE76" s="2" t="str">
        <f>IFERROR(INDEX($Y$2:$Y$253,MATCH(ROWS($AD$2:AD76),$AD$2:$AD$253,0)),"")</f>
        <v>Estonia</v>
      </c>
    </row>
    <row r="77" spans="25:31" x14ac:dyDescent="0.25">
      <c r="Y77" s="2" t="s">
        <v>16</v>
      </c>
      <c r="Z77" s="2" t="s">
        <v>222</v>
      </c>
      <c r="AA77" s="2" t="s">
        <v>223</v>
      </c>
      <c r="AB77" s="2" t="s">
        <v>193</v>
      </c>
      <c r="AC77" s="2">
        <f t="shared" si="2"/>
        <v>1</v>
      </c>
      <c r="AD77" s="2">
        <f>IF(AC77=1,COUNTIF($AC$2:AC77,1),"")</f>
        <v>73</v>
      </c>
      <c r="AE77" s="2" t="str">
        <f>IFERROR(INDEX($Y$2:$Y$253,MATCH(ROWS($AD$2:AD77),$AD$2:$AD$253,0)),"")</f>
        <v>Eswatini</v>
      </c>
    </row>
    <row r="78" spans="25:31" x14ac:dyDescent="0.25">
      <c r="Y78" s="2" t="s">
        <v>17</v>
      </c>
      <c r="Z78" s="2" t="s">
        <v>224</v>
      </c>
      <c r="AA78" s="2" t="s">
        <v>225</v>
      </c>
      <c r="AB78" s="2" t="s">
        <v>193</v>
      </c>
      <c r="AC78" s="2">
        <f t="shared" si="2"/>
        <v>1</v>
      </c>
      <c r="AD78" s="2">
        <f>IF(AC78=1,COUNTIF($AC$2:AC78,1),"")</f>
        <v>74</v>
      </c>
      <c r="AE78" s="2" t="str">
        <f>IFERROR(INDEX($Y$2:$Y$253,MATCH(ROWS($AD$2:AD78),$AD$2:$AD$253,0)),"")</f>
        <v>Ethiopia</v>
      </c>
    </row>
    <row r="79" spans="25:31" x14ac:dyDescent="0.25">
      <c r="Y79" s="2" t="s">
        <v>113</v>
      </c>
      <c r="Z79" s="2" t="s">
        <v>434</v>
      </c>
      <c r="AA79" s="2" t="s">
        <v>435</v>
      </c>
      <c r="AB79" s="2" t="s">
        <v>409</v>
      </c>
      <c r="AC79" s="2">
        <f t="shared" si="2"/>
        <v>1</v>
      </c>
      <c r="AD79" s="2">
        <f>IF(AC79=1,COUNTIF($AC$2:AC79,1),"")</f>
        <v>75</v>
      </c>
      <c r="AE79" s="2" t="str">
        <f>IFERROR(INDEX($Y$2:$Y$253,MATCH(ROWS($AD$2:AD79),$AD$2:$AD$253,0)),"")</f>
        <v>Falkland Islands (Malvinas)</v>
      </c>
    </row>
    <row r="80" spans="25:31" x14ac:dyDescent="0.25">
      <c r="Y80" s="2" t="s">
        <v>800</v>
      </c>
      <c r="Z80" s="2" t="s">
        <v>277</v>
      </c>
      <c r="AA80" s="2" t="s">
        <v>278</v>
      </c>
      <c r="AB80" s="2" t="s">
        <v>193</v>
      </c>
      <c r="AC80" s="2">
        <f t="shared" si="2"/>
        <v>1</v>
      </c>
      <c r="AD80" s="2">
        <f>IF(AC80=1,COUNTIF($AC$2:AC80,1),"")</f>
        <v>76</v>
      </c>
      <c r="AE80" s="2" t="str">
        <f>IFERROR(INDEX($Y$2:$Y$253,MATCH(ROWS($AD$2:AD80),$AD$2:$AD$253,0)),"")</f>
        <v>Faroe Islands</v>
      </c>
    </row>
    <row r="81" spans="25:31" x14ac:dyDescent="0.25">
      <c r="Y81" s="2" t="s">
        <v>18</v>
      </c>
      <c r="Z81" s="2" t="s">
        <v>226</v>
      </c>
      <c r="AA81" s="2" t="s">
        <v>227</v>
      </c>
      <c r="AB81" s="2" t="s">
        <v>193</v>
      </c>
      <c r="AC81" s="2">
        <f t="shared" si="2"/>
        <v>1</v>
      </c>
      <c r="AD81" s="2">
        <f>IF(AC81=1,COUNTIF($AC$2:AC81,1),"")</f>
        <v>77</v>
      </c>
      <c r="AE81" s="2" t="str">
        <f>IFERROR(INDEX($Y$2:$Y$253,MATCH(ROWS($AD$2:AD81),$AD$2:$AD$253,0)),"")</f>
        <v>Fiji</v>
      </c>
    </row>
    <row r="82" spans="25:31" x14ac:dyDescent="0.25">
      <c r="Y82" s="2" t="s">
        <v>548</v>
      </c>
      <c r="Z82" s="2" t="s">
        <v>549</v>
      </c>
      <c r="AA82" s="2" t="s">
        <v>550</v>
      </c>
      <c r="AB82" s="2" t="s">
        <v>517</v>
      </c>
      <c r="AC82" s="2">
        <f t="shared" si="2"/>
        <v>1</v>
      </c>
      <c r="AD82" s="2">
        <f>IF(AC82=1,COUNTIF($AC$2:AC82,1),"")</f>
        <v>78</v>
      </c>
      <c r="AE82" s="2" t="str">
        <f>IFERROR(INDEX($Y$2:$Y$253,MATCH(ROWS($AD$2:AD82),$AD$2:$AD$253,0)),"")</f>
        <v>Finland</v>
      </c>
    </row>
    <row r="83" spans="25:31" x14ac:dyDescent="0.25">
      <c r="Y83" s="2" t="s">
        <v>551</v>
      </c>
      <c r="Z83" s="2" t="s">
        <v>552</v>
      </c>
      <c r="AA83" s="2" t="s">
        <v>553</v>
      </c>
      <c r="AB83" s="2" t="s">
        <v>517</v>
      </c>
      <c r="AC83" s="2">
        <f t="shared" si="2"/>
        <v>1</v>
      </c>
      <c r="AD83" s="2">
        <f>IF(AC83=1,COUNTIF($AC$2:AC83,1),"")</f>
        <v>79</v>
      </c>
      <c r="AE83" s="2" t="str">
        <f>IFERROR(INDEX($Y$2:$Y$253,MATCH(ROWS($AD$2:AD83),$AD$2:$AD$253,0)),"")</f>
        <v>France</v>
      </c>
    </row>
    <row r="84" spans="25:31" x14ac:dyDescent="0.25">
      <c r="Y84" s="2" t="s">
        <v>166</v>
      </c>
      <c r="Z84" s="2" t="s">
        <v>698</v>
      </c>
      <c r="AA84" s="2" t="s">
        <v>699</v>
      </c>
      <c r="AB84" s="2" t="s">
        <v>688</v>
      </c>
      <c r="AC84" s="2">
        <f t="shared" si="2"/>
        <v>1</v>
      </c>
      <c r="AD84" s="2">
        <f>IF(AC84=1,COUNTIF($AC$2:AC84,1),"")</f>
        <v>80</v>
      </c>
      <c r="AE84" s="2" t="str">
        <f>IFERROR(INDEX($Y$2:$Y$253,MATCH(ROWS($AD$2:AD84),$AD$2:$AD$253,0)),"")</f>
        <v>French Guiana</v>
      </c>
    </row>
    <row r="85" spans="25:31" x14ac:dyDescent="0.25">
      <c r="Y85" s="2" t="s">
        <v>114</v>
      </c>
      <c r="Z85" s="2" t="s">
        <v>436</v>
      </c>
      <c r="AA85" s="2" t="s">
        <v>437</v>
      </c>
      <c r="AB85" s="2" t="s">
        <v>409</v>
      </c>
      <c r="AC85" s="2">
        <f t="shared" si="2"/>
        <v>1</v>
      </c>
      <c r="AD85" s="2">
        <f>IF(AC85=1,COUNTIF($AC$2:AC85,1),"")</f>
        <v>81</v>
      </c>
      <c r="AE85" s="2" t="str">
        <f>IFERROR(INDEX($Y$2:$Y$253,MATCH(ROWS($AD$2:AD85),$AD$2:$AD$253,0)),"")</f>
        <v>French Polynesia</v>
      </c>
    </row>
    <row r="86" spans="25:31" x14ac:dyDescent="0.25">
      <c r="Y86" s="2" t="s">
        <v>115</v>
      </c>
      <c r="Z86" s="2" t="s">
        <v>438</v>
      </c>
      <c r="AA86" s="2" t="s">
        <v>439</v>
      </c>
      <c r="AB86" s="2" t="s">
        <v>409</v>
      </c>
      <c r="AC86" s="2">
        <f t="shared" si="2"/>
        <v>1</v>
      </c>
      <c r="AD86" s="2">
        <f>IF(AC86=1,COUNTIF($AC$2:AC86,1),"")</f>
        <v>82</v>
      </c>
      <c r="AE86" s="2" t="str">
        <f>IFERROR(INDEX($Y$2:$Y$253,MATCH(ROWS($AD$2:AD86),$AD$2:$AD$253,0)),"")</f>
        <v>French Southern Territories</v>
      </c>
    </row>
    <row r="87" spans="25:31" x14ac:dyDescent="0.25">
      <c r="Y87" s="2" t="s">
        <v>554</v>
      </c>
      <c r="Z87" s="2" t="s">
        <v>555</v>
      </c>
      <c r="AA87" s="2" t="s">
        <v>556</v>
      </c>
      <c r="AB87" s="2" t="s">
        <v>517</v>
      </c>
      <c r="AC87" s="2">
        <f t="shared" si="2"/>
        <v>1</v>
      </c>
      <c r="AD87" s="2">
        <f>IF(AC87=1,COUNTIF($AC$2:AC87,1),"")</f>
        <v>83</v>
      </c>
      <c r="AE87" s="2" t="str">
        <f>IFERROR(INDEX($Y$2:$Y$253,MATCH(ROWS($AD$2:AD87),$AD$2:$AD$253,0)),"")</f>
        <v>Gabon</v>
      </c>
    </row>
    <row r="88" spans="25:31" x14ac:dyDescent="0.25">
      <c r="Y88" s="2" t="s">
        <v>557</v>
      </c>
      <c r="Z88" s="2" t="s">
        <v>558</v>
      </c>
      <c r="AA88" s="2" t="s">
        <v>559</v>
      </c>
      <c r="AB88" s="2" t="s">
        <v>688</v>
      </c>
      <c r="AC88" s="2">
        <f t="shared" si="2"/>
        <v>1</v>
      </c>
      <c r="AD88" s="2">
        <f>IF(AC88=1,COUNTIF($AC$2:AC88,1),"")</f>
        <v>84</v>
      </c>
      <c r="AE88" s="2" t="str">
        <f>IFERROR(INDEX($Y$2:$Y$253,MATCH(ROWS($AD$2:AD88),$AD$2:$AD$253,0)),"")</f>
        <v>Gambia</v>
      </c>
    </row>
    <row r="89" spans="25:31" x14ac:dyDescent="0.25">
      <c r="Y89" s="2" t="s">
        <v>801</v>
      </c>
      <c r="Z89" s="2" t="s">
        <v>802</v>
      </c>
      <c r="AA89" s="2" t="s">
        <v>803</v>
      </c>
      <c r="AB89" s="2" t="s">
        <v>517</v>
      </c>
      <c r="AC89" s="2">
        <f t="shared" si="2"/>
        <v>1</v>
      </c>
      <c r="AD89" s="2">
        <f>IF(AC89=1,COUNTIF($AC$2:AC89,1),"")</f>
        <v>85</v>
      </c>
      <c r="AE89" s="2" t="str">
        <f>IFERROR(INDEX($Y$2:$Y$253,MATCH(ROWS($AD$2:AD89),$AD$2:$AD$253,0)),"")</f>
        <v>Georgia</v>
      </c>
    </row>
    <row r="90" spans="25:31" x14ac:dyDescent="0.25">
      <c r="Y90" s="2" t="s">
        <v>19</v>
      </c>
      <c r="Z90" s="2" t="s">
        <v>228</v>
      </c>
      <c r="AA90" s="2" t="s">
        <v>229</v>
      </c>
      <c r="AB90" s="2" t="s">
        <v>193</v>
      </c>
      <c r="AC90" s="2">
        <f t="shared" si="2"/>
        <v>1</v>
      </c>
      <c r="AD90" s="2">
        <f>IF(AC90=1,COUNTIF($AC$2:AC90,1),"")</f>
        <v>86</v>
      </c>
      <c r="AE90" s="2" t="str">
        <f>IFERROR(INDEX($Y$2:$Y$253,MATCH(ROWS($AD$2:AD90),$AD$2:$AD$253,0)),"")</f>
        <v>Germany</v>
      </c>
    </row>
    <row r="91" spans="25:31" x14ac:dyDescent="0.25">
      <c r="Y91" s="2" t="s">
        <v>20</v>
      </c>
      <c r="Z91" s="2" t="s">
        <v>230</v>
      </c>
      <c r="AA91" s="2" t="s">
        <v>231</v>
      </c>
      <c r="AB91" s="2" t="s">
        <v>193</v>
      </c>
      <c r="AC91" s="2">
        <f t="shared" si="2"/>
        <v>1</v>
      </c>
      <c r="AD91" s="2">
        <f>IF(AC91=1,COUNTIF($AC$2:AC91,1),"")</f>
        <v>87</v>
      </c>
      <c r="AE91" s="2" t="str">
        <f>IFERROR(INDEX($Y$2:$Y$253,MATCH(ROWS($AD$2:AD91),$AD$2:$AD$253,0)),"")</f>
        <v>Germany, Former Democratic Republic</v>
      </c>
    </row>
    <row r="92" spans="25:31" x14ac:dyDescent="0.25">
      <c r="Y92" s="2" t="s">
        <v>116</v>
      </c>
      <c r="Z92" s="2" t="s">
        <v>440</v>
      </c>
      <c r="AA92" s="2" t="s">
        <v>441</v>
      </c>
      <c r="AB92" s="2" t="s">
        <v>409</v>
      </c>
      <c r="AC92" s="2">
        <f t="shared" si="2"/>
        <v>1</v>
      </c>
      <c r="AD92" s="2">
        <f>IF(AC92=1,COUNTIF($AC$2:AC92,1),"")</f>
        <v>88</v>
      </c>
      <c r="AE92" s="2" t="str">
        <f>IFERROR(INDEX($Y$2:$Y$253,MATCH(ROWS($AD$2:AD92),$AD$2:$AD$253,0)),"")</f>
        <v>Germany, Former Federal Republic</v>
      </c>
    </row>
    <row r="93" spans="25:31" x14ac:dyDescent="0.25">
      <c r="Y93" s="2" t="s">
        <v>117</v>
      </c>
      <c r="Z93" s="2" t="s">
        <v>442</v>
      </c>
      <c r="AA93" s="2" t="s">
        <v>443</v>
      </c>
      <c r="AB93" s="2" t="s">
        <v>409</v>
      </c>
      <c r="AC93" s="2">
        <f t="shared" si="2"/>
        <v>1</v>
      </c>
      <c r="AD93" s="2">
        <f>IF(AC93=1,COUNTIF($AC$2:AC93,1),"")</f>
        <v>89</v>
      </c>
      <c r="AE93" s="2" t="str">
        <f>IFERROR(INDEX($Y$2:$Y$253,MATCH(ROWS($AD$2:AD93),$AD$2:$AD$253,0)),"")</f>
        <v>Germany, West Berlin</v>
      </c>
    </row>
    <row r="94" spans="25:31" x14ac:dyDescent="0.25">
      <c r="Y94" s="2" t="s">
        <v>560</v>
      </c>
      <c r="Z94" s="2" t="s">
        <v>561</v>
      </c>
      <c r="AA94" s="2" t="s">
        <v>562</v>
      </c>
      <c r="AB94" s="2" t="s">
        <v>517</v>
      </c>
      <c r="AC94" s="2">
        <f t="shared" si="2"/>
        <v>1</v>
      </c>
      <c r="AD94" s="2">
        <f>IF(AC94=1,COUNTIF($AC$2:AC94,1),"")</f>
        <v>90</v>
      </c>
      <c r="AE94" s="2" t="str">
        <f>IFERROR(INDEX($Y$2:$Y$253,MATCH(ROWS($AD$2:AD94),$AD$2:$AD$253,0)),"")</f>
        <v>Ghana</v>
      </c>
    </row>
    <row r="95" spans="25:31" x14ac:dyDescent="0.25">
      <c r="Y95" s="2" t="s">
        <v>563</v>
      </c>
      <c r="Z95" s="2" t="s">
        <v>564</v>
      </c>
      <c r="AA95" s="2" t="s">
        <v>565</v>
      </c>
      <c r="AB95" s="2" t="s">
        <v>517</v>
      </c>
      <c r="AC95" s="2">
        <f t="shared" si="2"/>
        <v>1</v>
      </c>
      <c r="AD95" s="2">
        <f>IF(AC95=1,COUNTIF($AC$2:AC95,1),"")</f>
        <v>91</v>
      </c>
      <c r="AE95" s="2" t="str">
        <f>IFERROR(INDEX($Y$2:$Y$253,MATCH(ROWS($AD$2:AD95),$AD$2:$AD$253,0)),"")</f>
        <v>Gibraltar</v>
      </c>
    </row>
    <row r="96" spans="25:31" x14ac:dyDescent="0.25">
      <c r="Y96" s="2" t="s">
        <v>566</v>
      </c>
      <c r="Z96" s="2" t="s">
        <v>567</v>
      </c>
      <c r="AA96" s="2" t="s">
        <v>568</v>
      </c>
      <c r="AB96" s="2" t="s">
        <v>517</v>
      </c>
      <c r="AC96" s="2">
        <f t="shared" si="2"/>
        <v>1</v>
      </c>
      <c r="AD96" s="2">
        <f>IF(AC96=1,COUNTIF($AC$2:AC96,1),"")</f>
        <v>92</v>
      </c>
      <c r="AE96" s="2" t="str">
        <f>IFERROR(INDEX($Y$2:$Y$253,MATCH(ROWS($AD$2:AD96),$AD$2:$AD$253,0)),"")</f>
        <v>Greece</v>
      </c>
    </row>
    <row r="97" spans="25:31" x14ac:dyDescent="0.25">
      <c r="Y97" s="2" t="s">
        <v>21</v>
      </c>
      <c r="Z97" s="2" t="s">
        <v>232</v>
      </c>
      <c r="AA97" s="2" t="s">
        <v>233</v>
      </c>
      <c r="AB97" s="2" t="s">
        <v>193</v>
      </c>
      <c r="AC97" s="2">
        <f t="shared" si="2"/>
        <v>1</v>
      </c>
      <c r="AD97" s="2">
        <f>IF(AC97=1,COUNTIF($AC$2:AC97,1),"")</f>
        <v>93</v>
      </c>
      <c r="AE97" s="2" t="str">
        <f>IFERROR(INDEX($Y$2:$Y$253,MATCH(ROWS($AD$2:AD97),$AD$2:$AD$253,0)),"")</f>
        <v>Greenland</v>
      </c>
    </row>
    <row r="98" spans="25:31" x14ac:dyDescent="0.25">
      <c r="Y98" s="2" t="s">
        <v>569</v>
      </c>
      <c r="Z98" s="2" t="s">
        <v>570</v>
      </c>
      <c r="AA98" s="2" t="s">
        <v>571</v>
      </c>
      <c r="AB98" s="2" t="s">
        <v>517</v>
      </c>
      <c r="AC98" s="2">
        <f t="shared" si="2"/>
        <v>1</v>
      </c>
      <c r="AD98" s="2">
        <f>IF(AC98=1,COUNTIF($AC$2:AC98,1),"")</f>
        <v>94</v>
      </c>
      <c r="AE98" s="2" t="str">
        <f>IFERROR(INDEX($Y$2:$Y$253,MATCH(ROWS($AD$2:AD98),$AD$2:$AD$253,0)),"")</f>
        <v>Grenada</v>
      </c>
    </row>
    <row r="99" spans="25:31" x14ac:dyDescent="0.25">
      <c r="Y99" s="2" t="s">
        <v>118</v>
      </c>
      <c r="Z99" s="2" t="s">
        <v>444</v>
      </c>
      <c r="AA99" s="2" t="s">
        <v>445</v>
      </c>
      <c r="AB99" s="2" t="s">
        <v>409</v>
      </c>
      <c r="AC99" s="2">
        <f t="shared" si="2"/>
        <v>1</v>
      </c>
      <c r="AD99" s="2">
        <f>IF(AC99=1,COUNTIF($AC$2:AC99,1),"")</f>
        <v>95</v>
      </c>
      <c r="AE99" s="2" t="str">
        <f>IFERROR(INDEX($Y$2:$Y$253,MATCH(ROWS($AD$2:AD99),$AD$2:$AD$253,0)),"")</f>
        <v>Guadeloupe</v>
      </c>
    </row>
    <row r="100" spans="25:31" x14ac:dyDescent="0.25">
      <c r="Y100" s="2" t="s">
        <v>572</v>
      </c>
      <c r="Z100" s="2" t="s">
        <v>573</v>
      </c>
      <c r="AA100" s="2" t="s">
        <v>574</v>
      </c>
      <c r="AB100" s="2" t="s">
        <v>409</v>
      </c>
      <c r="AC100" s="2">
        <f t="shared" si="2"/>
        <v>1</v>
      </c>
      <c r="AD100" s="2">
        <f>IF(AC100=1,COUNTIF($AC$2:AC100,1),"")</f>
        <v>96</v>
      </c>
      <c r="AE100" s="2" t="str">
        <f>IFERROR(INDEX($Y$2:$Y$253,MATCH(ROWS($AD$2:AD100),$AD$2:$AD$253,0)),"")</f>
        <v>Guam</v>
      </c>
    </row>
    <row r="101" spans="25:31" x14ac:dyDescent="0.25">
      <c r="Y101" s="2" t="s">
        <v>62</v>
      </c>
      <c r="Z101" s="2" t="s">
        <v>323</v>
      </c>
      <c r="AA101" s="2" t="s">
        <v>324</v>
      </c>
      <c r="AB101" s="2" t="s">
        <v>291</v>
      </c>
      <c r="AC101" s="2">
        <f t="shared" si="2"/>
        <v>1</v>
      </c>
      <c r="AD101" s="2">
        <f>IF(AC101=1,COUNTIF($AC$2:AC101,1),"")</f>
        <v>97</v>
      </c>
      <c r="AE101" s="2" t="str">
        <f>IFERROR(INDEX($Y$2:$Y$253,MATCH(ROWS($AD$2:AD101),$AD$2:$AD$253,0)),"")</f>
        <v>Guatemala</v>
      </c>
    </row>
    <row r="102" spans="25:31" x14ac:dyDescent="0.25">
      <c r="Y102" s="2" t="s">
        <v>575</v>
      </c>
      <c r="Z102" s="2" t="s">
        <v>576</v>
      </c>
      <c r="AA102" s="2" t="s">
        <v>577</v>
      </c>
      <c r="AB102" s="2" t="s">
        <v>517</v>
      </c>
      <c r="AC102" s="2">
        <f t="shared" si="2"/>
        <v>1</v>
      </c>
      <c r="AD102" s="2">
        <f>IF(AC102=1,COUNTIF($AC$2:AC102,1),"")</f>
        <v>98</v>
      </c>
      <c r="AE102" s="2" t="str">
        <f>IFERROR(INDEX($Y$2:$Y$253,MATCH(ROWS($AD$2:AD102),$AD$2:$AD$253,0)),"")</f>
        <v>Guernsey</v>
      </c>
    </row>
    <row r="103" spans="25:31" x14ac:dyDescent="0.25">
      <c r="Y103" s="2" t="s">
        <v>578</v>
      </c>
      <c r="Z103" s="2" t="s">
        <v>579</v>
      </c>
      <c r="AA103" s="2" t="s">
        <v>580</v>
      </c>
      <c r="AB103" s="2" t="s">
        <v>688</v>
      </c>
      <c r="AC103" s="2">
        <f t="shared" si="2"/>
        <v>1</v>
      </c>
      <c r="AD103" s="2">
        <f>IF(AC103=1,COUNTIF($AC$2:AC103,1),"")</f>
        <v>99</v>
      </c>
      <c r="AE103" s="2" t="str">
        <f>IFERROR(INDEX($Y$2:$Y$253,MATCH(ROWS($AD$2:AD103),$AD$2:$AD$253,0)),"")</f>
        <v>Guinea</v>
      </c>
    </row>
    <row r="104" spans="25:31" x14ac:dyDescent="0.25">
      <c r="Y104" s="2" t="s">
        <v>63</v>
      </c>
      <c r="Z104" s="2" t="s">
        <v>325</v>
      </c>
      <c r="AA104" s="2" t="s">
        <v>326</v>
      </c>
      <c r="AB104" s="2" t="s">
        <v>291</v>
      </c>
      <c r="AC104" s="2">
        <f t="shared" si="2"/>
        <v>1</v>
      </c>
      <c r="AD104" s="2">
        <f>IF(AC104=1,COUNTIF($AC$2:AC104,1),"")</f>
        <v>100</v>
      </c>
      <c r="AE104" s="2" t="str">
        <f>IFERROR(INDEX($Y$2:$Y$253,MATCH(ROWS($AD$2:AD104),$AD$2:$AD$253,0)),"")</f>
        <v>Guinea-Bissau</v>
      </c>
    </row>
    <row r="105" spans="25:31" x14ac:dyDescent="0.25">
      <c r="Y105" s="2" t="s">
        <v>804</v>
      </c>
      <c r="Z105" s="2" t="s">
        <v>805</v>
      </c>
      <c r="AA105" s="2" t="s">
        <v>806</v>
      </c>
      <c r="AB105" s="2" t="s">
        <v>517</v>
      </c>
      <c r="AC105" s="2">
        <f t="shared" si="2"/>
        <v>1</v>
      </c>
      <c r="AD105" s="2">
        <f>IF(AC105=1,COUNTIF($AC$2:AC105,1),"")</f>
        <v>101</v>
      </c>
      <c r="AE105" s="2" t="str">
        <f>IFERROR(INDEX($Y$2:$Y$253,MATCH(ROWS($AD$2:AD105),$AD$2:$AD$253,0)),"")</f>
        <v>Guyana</v>
      </c>
    </row>
    <row r="106" spans="25:31" x14ac:dyDescent="0.25">
      <c r="Y106" s="2" t="s">
        <v>22</v>
      </c>
      <c r="Z106" s="2" t="s">
        <v>234</v>
      </c>
      <c r="AA106" s="2" t="s">
        <v>235</v>
      </c>
      <c r="AB106" s="2" t="s">
        <v>193</v>
      </c>
      <c r="AC106" s="2">
        <f t="shared" si="2"/>
        <v>1</v>
      </c>
      <c r="AD106" s="2">
        <f>IF(AC106=1,COUNTIF($AC$2:AC106,1),"")</f>
        <v>102</v>
      </c>
      <c r="AE106" s="2" t="str">
        <f>IFERROR(INDEX($Y$2:$Y$253,MATCH(ROWS($AD$2:AD106),$AD$2:$AD$253,0)),"")</f>
        <v>Haiti</v>
      </c>
    </row>
    <row r="107" spans="25:31" x14ac:dyDescent="0.25">
      <c r="Y107" s="2" t="s">
        <v>23</v>
      </c>
      <c r="Z107" s="2" t="s">
        <v>236</v>
      </c>
      <c r="AA107" s="2" t="s">
        <v>237</v>
      </c>
      <c r="AB107" s="2" t="s">
        <v>193</v>
      </c>
      <c r="AC107" s="2">
        <f t="shared" si="2"/>
        <v>1</v>
      </c>
      <c r="AD107" s="2">
        <f>IF(AC107=1,COUNTIF($AC$2:AC107,1),"")</f>
        <v>103</v>
      </c>
      <c r="AE107" s="2" t="str">
        <f>IFERROR(INDEX($Y$2:$Y$253,MATCH(ROWS($AD$2:AD107),$AD$2:$AD$253,0)),"")</f>
        <v>Heard Island and McDonald Islands</v>
      </c>
    </row>
    <row r="108" spans="25:31" x14ac:dyDescent="0.25">
      <c r="Y108" s="2" t="s">
        <v>64</v>
      </c>
      <c r="Z108" s="2" t="s">
        <v>327</v>
      </c>
      <c r="AA108" s="2" t="s">
        <v>328</v>
      </c>
      <c r="AB108" s="2" t="s">
        <v>291</v>
      </c>
      <c r="AC108" s="2">
        <f t="shared" si="2"/>
        <v>1</v>
      </c>
      <c r="AD108" s="2">
        <f>IF(AC108=1,COUNTIF($AC$2:AC108,1),"")</f>
        <v>104</v>
      </c>
      <c r="AE108" s="2" t="str">
        <f>IFERROR(INDEX($Y$2:$Y$253,MATCH(ROWS($AD$2:AD108),$AD$2:$AD$253,0)),"")</f>
        <v>Holy See</v>
      </c>
    </row>
    <row r="109" spans="25:31" x14ac:dyDescent="0.25">
      <c r="Y109" s="2" t="s">
        <v>65</v>
      </c>
      <c r="Z109" s="2" t="s">
        <v>329</v>
      </c>
      <c r="AA109" s="2" t="s">
        <v>330</v>
      </c>
      <c r="AB109" s="2" t="s">
        <v>291</v>
      </c>
      <c r="AC109" s="2">
        <f t="shared" si="2"/>
        <v>1</v>
      </c>
      <c r="AD109" s="2">
        <f>IF(AC109=1,COUNTIF($AC$2:AC109,1),"")</f>
        <v>105</v>
      </c>
      <c r="AE109" s="2" t="str">
        <f>IFERROR(INDEX($Y$2:$Y$253,MATCH(ROWS($AD$2:AD109),$AD$2:$AD$253,0)),"")</f>
        <v>Honduras</v>
      </c>
    </row>
    <row r="110" spans="25:31" x14ac:dyDescent="0.25">
      <c r="Y110" s="2" t="s">
        <v>807</v>
      </c>
      <c r="Z110" s="2" t="s">
        <v>808</v>
      </c>
      <c r="AA110" s="2" t="s">
        <v>809</v>
      </c>
      <c r="AB110" s="2" t="s">
        <v>517</v>
      </c>
      <c r="AC110" s="2">
        <f t="shared" si="2"/>
        <v>1</v>
      </c>
      <c r="AD110" s="2">
        <f>IF(AC110=1,COUNTIF($AC$2:AC110,1),"")</f>
        <v>106</v>
      </c>
      <c r="AE110" s="2" t="str">
        <f>IFERROR(INDEX($Y$2:$Y$253,MATCH(ROWS($AD$2:AD110),$AD$2:$AD$253,0)),"")</f>
        <v>Hungary</v>
      </c>
    </row>
    <row r="111" spans="25:31" x14ac:dyDescent="0.25">
      <c r="Y111" s="2" t="s">
        <v>810</v>
      </c>
      <c r="Z111" s="2" t="s">
        <v>811</v>
      </c>
      <c r="AA111" s="2" t="s">
        <v>812</v>
      </c>
      <c r="AB111" s="2" t="s">
        <v>517</v>
      </c>
      <c r="AC111" s="2">
        <f t="shared" si="2"/>
        <v>1</v>
      </c>
      <c r="AD111" s="2">
        <f>IF(AC111=1,COUNTIF($AC$2:AC111,1),"")</f>
        <v>107</v>
      </c>
      <c r="AE111" s="2" t="str">
        <f>IFERROR(INDEX($Y$2:$Y$253,MATCH(ROWS($AD$2:AD111),$AD$2:$AD$253,0)),"")</f>
        <v>Iceland</v>
      </c>
    </row>
    <row r="112" spans="25:31" x14ac:dyDescent="0.25">
      <c r="Y112" s="2" t="s">
        <v>66</v>
      </c>
      <c r="Z112" s="2" t="s">
        <v>331</v>
      </c>
      <c r="AA112" s="2" t="s">
        <v>332</v>
      </c>
      <c r="AB112" s="2" t="s">
        <v>291</v>
      </c>
      <c r="AC112" s="2">
        <f t="shared" si="2"/>
        <v>1</v>
      </c>
      <c r="AD112" s="2">
        <f>IF(AC112=1,COUNTIF($AC$2:AC112,1),"")</f>
        <v>108</v>
      </c>
      <c r="AE112" s="2" t="str">
        <f>IFERROR(INDEX($Y$2:$Y$253,MATCH(ROWS($AD$2:AD112),$AD$2:$AD$253,0)),"")</f>
        <v>India</v>
      </c>
    </row>
    <row r="113" spans="25:31" x14ac:dyDescent="0.25">
      <c r="Y113" s="2" t="s">
        <v>119</v>
      </c>
      <c r="Z113" s="2" t="s">
        <v>446</v>
      </c>
      <c r="AA113" s="2" t="s">
        <v>447</v>
      </c>
      <c r="AB113" s="2" t="s">
        <v>409</v>
      </c>
      <c r="AC113" s="2">
        <f t="shared" si="2"/>
        <v>1</v>
      </c>
      <c r="AD113" s="2">
        <f>IF(AC113=1,COUNTIF($AC$2:AC113,1),"")</f>
        <v>109</v>
      </c>
      <c r="AE113" s="2" t="str">
        <f>IFERROR(INDEX($Y$2:$Y$253,MATCH(ROWS($AD$2:AD113),$AD$2:$AD$253,0)),"")</f>
        <v>Indonesia</v>
      </c>
    </row>
    <row r="114" spans="25:31" x14ac:dyDescent="0.25">
      <c r="Y114" s="2" t="s">
        <v>120</v>
      </c>
      <c r="Z114" s="2" t="s">
        <v>448</v>
      </c>
      <c r="AA114" s="2" t="s">
        <v>449</v>
      </c>
      <c r="AB114" s="2" t="s">
        <v>409</v>
      </c>
      <c r="AC114" s="2">
        <f t="shared" si="2"/>
        <v>1</v>
      </c>
      <c r="AD114" s="2">
        <f>IF(AC114=1,COUNTIF($AC$2:AC114,1),"")</f>
        <v>110</v>
      </c>
      <c r="AE114" s="2" t="str">
        <f>IFERROR(INDEX($Y$2:$Y$253,MATCH(ROWS($AD$2:AD114),$AD$2:$AD$253,0)),"")</f>
        <v>Iran (Islamic Republic of)</v>
      </c>
    </row>
    <row r="115" spans="25:31" x14ac:dyDescent="0.25">
      <c r="Y115" s="2" t="s">
        <v>154</v>
      </c>
      <c r="Z115" s="2" t="s">
        <v>670</v>
      </c>
      <c r="AA115" s="2" t="s">
        <v>671</v>
      </c>
      <c r="AB115" s="2" t="s">
        <v>665</v>
      </c>
      <c r="AC115" s="2">
        <f t="shared" si="2"/>
        <v>1</v>
      </c>
      <c r="AD115" s="2">
        <f>IF(AC115=1,COUNTIF($AC$2:AC115,1),"")</f>
        <v>111</v>
      </c>
      <c r="AE115" s="2" t="str">
        <f>IFERROR(INDEX($Y$2:$Y$253,MATCH(ROWS($AD$2:AD115),$AD$2:$AD$253,0)),"")</f>
        <v>Iraq</v>
      </c>
    </row>
    <row r="116" spans="25:31" x14ac:dyDescent="0.25">
      <c r="Y116" s="2" t="s">
        <v>155</v>
      </c>
      <c r="Z116" s="2" t="s">
        <v>672</v>
      </c>
      <c r="AA116" s="2" t="s">
        <v>673</v>
      </c>
      <c r="AB116" s="2" t="s">
        <v>665</v>
      </c>
      <c r="AC116" s="2">
        <f t="shared" si="2"/>
        <v>1</v>
      </c>
      <c r="AD116" s="2">
        <f>IF(AC116=1,COUNTIF($AC$2:AC116,1),"")</f>
        <v>112</v>
      </c>
      <c r="AE116" s="2" t="str">
        <f>IFERROR(INDEX($Y$2:$Y$253,MATCH(ROWS($AD$2:AD116),$AD$2:$AD$253,0)),"")</f>
        <v>Ireland</v>
      </c>
    </row>
    <row r="117" spans="25:31" x14ac:dyDescent="0.25">
      <c r="Y117" s="2" t="s">
        <v>85</v>
      </c>
      <c r="Z117" s="2" t="s">
        <v>370</v>
      </c>
      <c r="AA117" s="2" t="s">
        <v>371</v>
      </c>
      <c r="AB117" s="2" t="s">
        <v>363</v>
      </c>
      <c r="AC117" s="2">
        <f t="shared" si="2"/>
        <v>1</v>
      </c>
      <c r="AD117" s="2">
        <f>IF(AC117=1,COUNTIF($AC$2:AC117,1),"")</f>
        <v>113</v>
      </c>
      <c r="AE117" s="2" t="str">
        <f>IFERROR(INDEX($Y$2:$Y$253,MATCH(ROWS($AD$2:AD117),$AD$2:$AD$253,0)),"")</f>
        <v>Isle of Man</v>
      </c>
    </row>
    <row r="118" spans="25:31" x14ac:dyDescent="0.25">
      <c r="Y118" s="2" t="s">
        <v>86</v>
      </c>
      <c r="Z118" s="2" t="s">
        <v>372</v>
      </c>
      <c r="AA118" s="2" t="s">
        <v>373</v>
      </c>
      <c r="AB118" s="2" t="s">
        <v>363</v>
      </c>
      <c r="AC118" s="2">
        <f t="shared" si="2"/>
        <v>1</v>
      </c>
      <c r="AD118" s="2">
        <f>IF(AC118=1,COUNTIF($AC$2:AC118,1),"")</f>
        <v>114</v>
      </c>
      <c r="AE118" s="2" t="str">
        <f>IFERROR(INDEX($Y$2:$Y$253,MATCH(ROWS($AD$2:AD118),$AD$2:$AD$253,0)),"")</f>
        <v>Israel</v>
      </c>
    </row>
    <row r="119" spans="25:31" x14ac:dyDescent="0.25">
      <c r="Y119" s="2" t="s">
        <v>121</v>
      </c>
      <c r="Z119" s="2" t="s">
        <v>450</v>
      </c>
      <c r="AA119" s="2" t="s">
        <v>451</v>
      </c>
      <c r="AB119" s="2" t="s">
        <v>409</v>
      </c>
      <c r="AC119" s="2">
        <f t="shared" si="2"/>
        <v>1</v>
      </c>
      <c r="AD119" s="2">
        <f>IF(AC119=1,COUNTIF($AC$2:AC119,1),"")</f>
        <v>115</v>
      </c>
      <c r="AE119" s="2" t="str">
        <f>IFERROR(INDEX($Y$2:$Y$253,MATCH(ROWS($AD$2:AD119),$AD$2:$AD$253,0)),"")</f>
        <v>Italy</v>
      </c>
    </row>
    <row r="120" spans="25:31" x14ac:dyDescent="0.25">
      <c r="Y120" s="2" t="s">
        <v>813</v>
      </c>
      <c r="Z120" s="2" t="s">
        <v>814</v>
      </c>
      <c r="AA120" s="2" t="s">
        <v>815</v>
      </c>
      <c r="AB120" s="2" t="s">
        <v>517</v>
      </c>
      <c r="AC120" s="2">
        <f t="shared" si="2"/>
        <v>1</v>
      </c>
      <c r="AD120" s="2">
        <f>IF(AC120=1,COUNTIF($AC$2:AC120,1),"")</f>
        <v>116</v>
      </c>
      <c r="AE120" s="2" t="str">
        <f>IFERROR(INDEX($Y$2:$Y$253,MATCH(ROWS($AD$2:AD120),$AD$2:$AD$253,0)),"")</f>
        <v>Jamaica</v>
      </c>
    </row>
    <row r="121" spans="25:31" x14ac:dyDescent="0.25">
      <c r="Y121" s="2" t="s">
        <v>122</v>
      </c>
      <c r="Z121" s="2" t="s">
        <v>452</v>
      </c>
      <c r="AA121" s="2" t="s">
        <v>453</v>
      </c>
      <c r="AB121" s="2" t="s">
        <v>409</v>
      </c>
      <c r="AC121" s="2">
        <f t="shared" si="2"/>
        <v>1</v>
      </c>
      <c r="AD121" s="2">
        <f>IF(AC121=1,COUNTIF($AC$2:AC121,1),"")</f>
        <v>117</v>
      </c>
      <c r="AE121" s="2" t="str">
        <f>IFERROR(INDEX($Y$2:$Y$253,MATCH(ROWS($AD$2:AD121),$AD$2:$AD$253,0)),"")</f>
        <v>Japan</v>
      </c>
    </row>
    <row r="122" spans="25:31" x14ac:dyDescent="0.25">
      <c r="Y122" s="2" t="s">
        <v>123</v>
      </c>
      <c r="Z122" s="2" t="s">
        <v>454</v>
      </c>
      <c r="AA122" s="2" t="s">
        <v>455</v>
      </c>
      <c r="AB122" s="2" t="s">
        <v>409</v>
      </c>
      <c r="AC122" s="2">
        <f t="shared" si="2"/>
        <v>1</v>
      </c>
      <c r="AD122" s="2">
        <f>IF(AC122=1,COUNTIF($AC$2:AC122,1),"")</f>
        <v>118</v>
      </c>
      <c r="AE122" s="2" t="str">
        <f>IFERROR(INDEX($Y$2:$Y$253,MATCH(ROWS($AD$2:AD122),$AD$2:$AD$253,0)),"")</f>
        <v>Jersey</v>
      </c>
    </row>
    <row r="123" spans="25:31" x14ac:dyDescent="0.25">
      <c r="Y123" s="2" t="s">
        <v>67</v>
      </c>
      <c r="Z123" s="2" t="s">
        <v>333</v>
      </c>
      <c r="AA123" s="2" t="s">
        <v>334</v>
      </c>
      <c r="AB123" s="2" t="s">
        <v>291</v>
      </c>
      <c r="AC123" s="2">
        <f t="shared" si="2"/>
        <v>1</v>
      </c>
      <c r="AD123" s="2">
        <f>IF(AC123=1,COUNTIF($AC$2:AC123,1),"")</f>
        <v>119</v>
      </c>
      <c r="AE123" s="2" t="str">
        <f>IFERROR(INDEX($Y$2:$Y$253,MATCH(ROWS($AD$2:AD123),$AD$2:$AD$253,0)),"")</f>
        <v>Jordan</v>
      </c>
    </row>
    <row r="124" spans="25:31" x14ac:dyDescent="0.25">
      <c r="Y124" s="2" t="s">
        <v>167</v>
      </c>
      <c r="Z124" s="2" t="s">
        <v>700</v>
      </c>
      <c r="AA124" s="2" t="s">
        <v>701</v>
      </c>
      <c r="AB124" s="2" t="s">
        <v>688</v>
      </c>
      <c r="AC124" s="2">
        <f t="shared" si="2"/>
        <v>1</v>
      </c>
      <c r="AD124" s="2">
        <f>IF(AC124=1,COUNTIF($AC$2:AC124,1),"")</f>
        <v>120</v>
      </c>
      <c r="AE124" s="2" t="str">
        <f>IFERROR(INDEX($Y$2:$Y$253,MATCH(ROWS($AD$2:AD124),$AD$2:$AD$253,0)),"")</f>
        <v>Kazakhstan</v>
      </c>
    </row>
    <row r="125" spans="25:31" x14ac:dyDescent="0.25">
      <c r="Y125" s="2" t="s">
        <v>816</v>
      </c>
      <c r="Z125" s="2" t="s">
        <v>817</v>
      </c>
      <c r="AA125" s="2" t="s">
        <v>818</v>
      </c>
      <c r="AB125" s="2" t="s">
        <v>517</v>
      </c>
      <c r="AC125" s="2">
        <f t="shared" si="2"/>
        <v>1</v>
      </c>
      <c r="AD125" s="2">
        <f>IF(AC125=1,COUNTIF($AC$2:AC125,1),"")</f>
        <v>121</v>
      </c>
      <c r="AE125" s="2" t="str">
        <f>IFERROR(INDEX($Y$2:$Y$253,MATCH(ROWS($AD$2:AD125),$AD$2:$AD$253,0)),"")</f>
        <v>Kenya</v>
      </c>
    </row>
    <row r="126" spans="25:31" x14ac:dyDescent="0.25">
      <c r="Y126" s="2" t="s">
        <v>87</v>
      </c>
      <c r="Z126" s="2" t="s">
        <v>374</v>
      </c>
      <c r="AA126" s="2" t="s">
        <v>375</v>
      </c>
      <c r="AB126" s="2" t="s">
        <v>363</v>
      </c>
      <c r="AC126" s="2">
        <f t="shared" si="2"/>
        <v>1</v>
      </c>
      <c r="AD126" s="2">
        <f>IF(AC126=1,COUNTIF($AC$2:AC126,1),"")</f>
        <v>122</v>
      </c>
      <c r="AE126" s="2" t="str">
        <f>IFERROR(INDEX($Y$2:$Y$253,MATCH(ROWS($AD$2:AD126),$AD$2:$AD$253,0)),"")</f>
        <v>Kiribati</v>
      </c>
    </row>
    <row r="127" spans="25:31" x14ac:dyDescent="0.25">
      <c r="Y127" s="2" t="s">
        <v>124</v>
      </c>
      <c r="Z127" s="2" t="s">
        <v>456</v>
      </c>
      <c r="AA127" s="2" t="s">
        <v>457</v>
      </c>
      <c r="AB127" s="2" t="s">
        <v>409</v>
      </c>
      <c r="AC127" s="2">
        <f t="shared" si="2"/>
        <v>1</v>
      </c>
      <c r="AD127" s="2">
        <f>IF(AC127=1,COUNTIF($AC$2:AC127,1),"")</f>
        <v>123</v>
      </c>
      <c r="AE127" s="2" t="str">
        <f>IFERROR(INDEX($Y$2:$Y$253,MATCH(ROWS($AD$2:AD127),$AD$2:$AD$253,0)),"")</f>
        <v>Kuwait</v>
      </c>
    </row>
    <row r="128" spans="25:31" x14ac:dyDescent="0.25">
      <c r="Y128" s="2" t="s">
        <v>24</v>
      </c>
      <c r="Z128" s="2" t="s">
        <v>238</v>
      </c>
      <c r="AA128" s="2" t="s">
        <v>239</v>
      </c>
      <c r="AB128" s="2" t="s">
        <v>193</v>
      </c>
      <c r="AC128" s="2">
        <f t="shared" si="2"/>
        <v>1</v>
      </c>
      <c r="AD128" s="2">
        <f>IF(AC128=1,COUNTIF($AC$2:AC128,1),"")</f>
        <v>124</v>
      </c>
      <c r="AE128" s="2" t="str">
        <f>IFERROR(INDEX($Y$2:$Y$253,MATCH(ROWS($AD$2:AD128),$AD$2:$AD$253,0)),"")</f>
        <v>Kyrgyzstan</v>
      </c>
    </row>
    <row r="129" spans="25:31" x14ac:dyDescent="0.25">
      <c r="Y129" s="2" t="s">
        <v>168</v>
      </c>
      <c r="Z129" s="2" t="s">
        <v>702</v>
      </c>
      <c r="AA129" s="2" t="s">
        <v>703</v>
      </c>
      <c r="AB129" s="2" t="s">
        <v>688</v>
      </c>
      <c r="AC129" s="2">
        <f t="shared" si="2"/>
        <v>1</v>
      </c>
      <c r="AD129" s="2">
        <f>IF(AC129=1,COUNTIF($AC$2:AC129,1),"")</f>
        <v>125</v>
      </c>
      <c r="AE129" s="2" t="str">
        <f>IFERROR(INDEX($Y$2:$Y$253,MATCH(ROWS($AD$2:AD129),$AD$2:$AD$253,0)),"")</f>
        <v>Lao People's Democratic Republic</v>
      </c>
    </row>
    <row r="130" spans="25:31" x14ac:dyDescent="0.25">
      <c r="Y130" s="2" t="s">
        <v>88</v>
      </c>
      <c r="Z130" s="2" t="s">
        <v>376</v>
      </c>
      <c r="AA130" s="2" t="s">
        <v>377</v>
      </c>
      <c r="AB130" s="2" t="s">
        <v>363</v>
      </c>
      <c r="AC130" s="2">
        <f t="shared" si="2"/>
        <v>1</v>
      </c>
      <c r="AD130" s="2">
        <f>IF(AC130=1,COUNTIF($AC$2:AC130,1),"")</f>
        <v>126</v>
      </c>
      <c r="AE130" s="2" t="str">
        <f>IFERROR(INDEX($Y$2:$Y$253,MATCH(ROWS($AD$2:AD130),$AD$2:$AD$253,0)),"")</f>
        <v>Latvia</v>
      </c>
    </row>
    <row r="131" spans="25:31" x14ac:dyDescent="0.25">
      <c r="Y131" s="2" t="s">
        <v>125</v>
      </c>
      <c r="Z131" s="2" t="s">
        <v>458</v>
      </c>
      <c r="AA131" s="2" t="s">
        <v>459</v>
      </c>
      <c r="AB131" s="2" t="s">
        <v>409</v>
      </c>
      <c r="AC131" s="2">
        <f t="shared" si="2"/>
        <v>1</v>
      </c>
      <c r="AD131" s="2">
        <f>IF(AC131=1,COUNTIF($AC$2:AC131,1),"")</f>
        <v>127</v>
      </c>
      <c r="AE131" s="2" t="str">
        <f>IFERROR(INDEX($Y$2:$Y$253,MATCH(ROWS($AD$2:AD131),$AD$2:$AD$253,0)),"")</f>
        <v>Lebanon</v>
      </c>
    </row>
    <row r="132" spans="25:31" x14ac:dyDescent="0.25">
      <c r="Y132" s="2" t="s">
        <v>169</v>
      </c>
      <c r="Z132" s="2" t="s">
        <v>704</v>
      </c>
      <c r="AA132" s="2" t="s">
        <v>705</v>
      </c>
      <c r="AB132" s="2" t="s">
        <v>688</v>
      </c>
      <c r="AC132" s="2">
        <f t="shared" si="2"/>
        <v>1</v>
      </c>
      <c r="AD132" s="2">
        <f>IF(AC132=1,COUNTIF($AC$2:AC132,1),"")</f>
        <v>128</v>
      </c>
      <c r="AE132" s="2" t="str">
        <f>IFERROR(INDEX($Y$2:$Y$253,MATCH(ROWS($AD$2:AD132),$AD$2:$AD$253,0)),"")</f>
        <v>Lesotho</v>
      </c>
    </row>
    <row r="133" spans="25:31" x14ac:dyDescent="0.25">
      <c r="Y133" s="2" t="s">
        <v>126</v>
      </c>
      <c r="Z133" s="2" t="s">
        <v>460</v>
      </c>
      <c r="AA133" s="2" t="s">
        <v>461</v>
      </c>
      <c r="AB133" s="2" t="s">
        <v>409</v>
      </c>
      <c r="AC133" s="2">
        <f t="shared" ref="AC133:AC196" si="3">--ISNUMBER(IFERROR(SEARCH($V$1,Y133,1),""))</f>
        <v>1</v>
      </c>
      <c r="AD133" s="2">
        <f>IF(AC133=1,COUNTIF($AC$2:AC133,1),"")</f>
        <v>129</v>
      </c>
      <c r="AE133" s="2" t="str">
        <f>IFERROR(INDEX($Y$2:$Y$253,MATCH(ROWS($AD$2:AD133),$AD$2:$AD$253,0)),"")</f>
        <v>Liberia</v>
      </c>
    </row>
    <row r="134" spans="25:31" x14ac:dyDescent="0.25">
      <c r="Y134" s="2" t="s">
        <v>89</v>
      </c>
      <c r="Z134" s="2" t="s">
        <v>378</v>
      </c>
      <c r="AA134" s="2" t="s">
        <v>379</v>
      </c>
      <c r="AB134" s="2" t="s">
        <v>363</v>
      </c>
      <c r="AC134" s="2">
        <f t="shared" si="3"/>
        <v>1</v>
      </c>
      <c r="AD134" s="2">
        <f>IF(AC134=1,COUNTIF($AC$2:AC134,1),"")</f>
        <v>130</v>
      </c>
      <c r="AE134" s="2" t="str">
        <f>IFERROR(INDEX($Y$2:$Y$253,MATCH(ROWS($AD$2:AD134),$AD$2:$AD$253,0)),"")</f>
        <v>Libya</v>
      </c>
    </row>
    <row r="135" spans="25:31" x14ac:dyDescent="0.25">
      <c r="Y135" s="2" t="s">
        <v>25</v>
      </c>
      <c r="Z135" s="2" t="s">
        <v>240</v>
      </c>
      <c r="AA135" s="2" t="s">
        <v>241</v>
      </c>
      <c r="AB135" s="2" t="s">
        <v>193</v>
      </c>
      <c r="AC135" s="2">
        <f t="shared" si="3"/>
        <v>1</v>
      </c>
      <c r="AD135" s="2">
        <f>IF(AC135=1,COUNTIF($AC$2:AC135,1),"")</f>
        <v>131</v>
      </c>
      <c r="AE135" s="2" t="str">
        <f>IFERROR(INDEX($Y$2:$Y$253,MATCH(ROWS($AD$2:AD135),$AD$2:$AD$253,0)),"")</f>
        <v>Liechtenstein</v>
      </c>
    </row>
    <row r="136" spans="25:31" x14ac:dyDescent="0.25">
      <c r="Y136" s="2" t="s">
        <v>26</v>
      </c>
      <c r="Z136" s="2" t="s">
        <v>242</v>
      </c>
      <c r="AA136" s="2" t="s">
        <v>243</v>
      </c>
      <c r="AB136" s="2" t="s">
        <v>193</v>
      </c>
      <c r="AC136" s="2">
        <f t="shared" si="3"/>
        <v>1</v>
      </c>
      <c r="AD136" s="2">
        <f>IF(AC136=1,COUNTIF($AC$2:AC136,1),"")</f>
        <v>132</v>
      </c>
      <c r="AE136" s="2" t="str">
        <f>IFERROR(INDEX($Y$2:$Y$253,MATCH(ROWS($AD$2:AD136),$AD$2:$AD$253,0)),"")</f>
        <v>Lithuania</v>
      </c>
    </row>
    <row r="137" spans="25:31" x14ac:dyDescent="0.25">
      <c r="Y137" s="2" t="s">
        <v>380</v>
      </c>
      <c r="Z137" s="2" t="s">
        <v>381</v>
      </c>
      <c r="AA137" s="2" t="s">
        <v>382</v>
      </c>
      <c r="AB137" s="2" t="s">
        <v>363</v>
      </c>
      <c r="AC137" s="2">
        <f t="shared" si="3"/>
        <v>1</v>
      </c>
      <c r="AD137" s="2">
        <f>IF(AC137=1,COUNTIF($AC$2:AC137,1),"")</f>
        <v>133</v>
      </c>
      <c r="AE137" s="2" t="str">
        <f>IFERROR(INDEX($Y$2:$Y$253,MATCH(ROWS($AD$2:AD137),$AD$2:$AD$253,0)),"")</f>
        <v>Luxembourg</v>
      </c>
    </row>
    <row r="138" spans="25:31" x14ac:dyDescent="0.25">
      <c r="Y138" s="2" t="s">
        <v>581</v>
      </c>
      <c r="Z138" s="2" t="s">
        <v>582</v>
      </c>
      <c r="AA138" s="2" t="s">
        <v>583</v>
      </c>
      <c r="AB138" s="2" t="s">
        <v>517</v>
      </c>
      <c r="AC138" s="2">
        <f t="shared" si="3"/>
        <v>1</v>
      </c>
      <c r="AD138" s="2">
        <f>IF(AC138=1,COUNTIF($AC$2:AC138,1),"")</f>
        <v>134</v>
      </c>
      <c r="AE138" s="2" t="str">
        <f>IFERROR(INDEX($Y$2:$Y$253,MATCH(ROWS($AD$2:AD138),$AD$2:$AD$253,0)),"")</f>
        <v>Madagascar</v>
      </c>
    </row>
    <row r="139" spans="25:31" x14ac:dyDescent="0.25">
      <c r="Y139" s="2" t="s">
        <v>127</v>
      </c>
      <c r="Z139" s="2" t="s">
        <v>462</v>
      </c>
      <c r="AA139" s="2" t="s">
        <v>463</v>
      </c>
      <c r="AB139" s="2" t="s">
        <v>409</v>
      </c>
      <c r="AC139" s="2">
        <f t="shared" si="3"/>
        <v>1</v>
      </c>
      <c r="AD139" s="2">
        <f>IF(AC139=1,COUNTIF($AC$2:AC139,1),"")</f>
        <v>135</v>
      </c>
      <c r="AE139" s="2" t="str">
        <f>IFERROR(INDEX($Y$2:$Y$253,MATCH(ROWS($AD$2:AD139),$AD$2:$AD$253,0)),"")</f>
        <v>Malawi</v>
      </c>
    </row>
    <row r="140" spans="25:31" x14ac:dyDescent="0.25">
      <c r="Y140" s="2" t="s">
        <v>128</v>
      </c>
      <c r="Z140" s="2" t="s">
        <v>464</v>
      </c>
      <c r="AA140" s="2" t="s">
        <v>465</v>
      </c>
      <c r="AB140" s="2" t="s">
        <v>409</v>
      </c>
      <c r="AC140" s="2">
        <f t="shared" si="3"/>
        <v>1</v>
      </c>
      <c r="AD140" s="2">
        <f>IF(AC140=1,COUNTIF($AC$2:AC140,1),"")</f>
        <v>136</v>
      </c>
      <c r="AE140" s="2" t="str">
        <f>IFERROR(INDEX($Y$2:$Y$253,MATCH(ROWS($AD$2:AD140),$AD$2:$AD$253,0)),"")</f>
        <v>Malaysia</v>
      </c>
    </row>
    <row r="141" spans="25:31" x14ac:dyDescent="0.25">
      <c r="Y141" s="2" t="s">
        <v>27</v>
      </c>
      <c r="Z141" s="2" t="s">
        <v>244</v>
      </c>
      <c r="AA141" s="2" t="s">
        <v>245</v>
      </c>
      <c r="AB141" s="2" t="s">
        <v>193</v>
      </c>
      <c r="AC141" s="2">
        <f t="shared" si="3"/>
        <v>1</v>
      </c>
      <c r="AD141" s="2">
        <f>IF(AC141=1,COUNTIF($AC$2:AC141,1),"")</f>
        <v>137</v>
      </c>
      <c r="AE141" s="2" t="str">
        <f>IFERROR(INDEX($Y$2:$Y$253,MATCH(ROWS($AD$2:AD141),$AD$2:$AD$253,0)),"")</f>
        <v>Maldives</v>
      </c>
    </row>
    <row r="142" spans="25:31" x14ac:dyDescent="0.25">
      <c r="Y142" s="2" t="s">
        <v>28</v>
      </c>
      <c r="Z142" s="2" t="s">
        <v>246</v>
      </c>
      <c r="AA142" s="2" t="s">
        <v>247</v>
      </c>
      <c r="AB142" s="2" t="s">
        <v>193</v>
      </c>
      <c r="AC142" s="2">
        <f t="shared" si="3"/>
        <v>1</v>
      </c>
      <c r="AD142" s="2">
        <f>IF(AC142=1,COUNTIF($AC$2:AC142,1),"")</f>
        <v>138</v>
      </c>
      <c r="AE142" s="2" t="str">
        <f>IFERROR(INDEX($Y$2:$Y$253,MATCH(ROWS($AD$2:AD142),$AD$2:$AD$253,0)),"")</f>
        <v>Mali</v>
      </c>
    </row>
    <row r="143" spans="25:31" x14ac:dyDescent="0.25">
      <c r="Y143" s="2" t="s">
        <v>170</v>
      </c>
      <c r="Z143" s="2" t="s">
        <v>706</v>
      </c>
      <c r="AA143" s="2" t="s">
        <v>707</v>
      </c>
      <c r="AB143" s="2" t="s">
        <v>688</v>
      </c>
      <c r="AC143" s="2">
        <f t="shared" si="3"/>
        <v>1</v>
      </c>
      <c r="AD143" s="2">
        <f>IF(AC143=1,COUNTIF($AC$2:AC143,1),"")</f>
        <v>139</v>
      </c>
      <c r="AE143" s="2" t="str">
        <f>IFERROR(INDEX($Y$2:$Y$253,MATCH(ROWS($AD$2:AD143),$AD$2:$AD$253,0)),"")</f>
        <v>Malta</v>
      </c>
    </row>
    <row r="144" spans="25:31" x14ac:dyDescent="0.25">
      <c r="Y144" s="2" t="s">
        <v>156</v>
      </c>
      <c r="Z144" s="2" t="s">
        <v>674</v>
      </c>
      <c r="AA144" s="2" t="s">
        <v>675</v>
      </c>
      <c r="AB144" s="2" t="s">
        <v>665</v>
      </c>
      <c r="AC144" s="2">
        <f t="shared" si="3"/>
        <v>1</v>
      </c>
      <c r="AD144" s="2">
        <f>IF(AC144=1,COUNTIF($AC$2:AC144,1),"")</f>
        <v>140</v>
      </c>
      <c r="AE144" s="2" t="str">
        <f>IFERROR(INDEX($Y$2:$Y$253,MATCH(ROWS($AD$2:AD144),$AD$2:$AD$253,0)),"")</f>
        <v>Marshall Islands</v>
      </c>
    </row>
    <row r="145" spans="25:31" x14ac:dyDescent="0.25">
      <c r="Y145" s="2" t="s">
        <v>29</v>
      </c>
      <c r="Z145" s="2" t="s">
        <v>248</v>
      </c>
      <c r="AA145" s="2" t="s">
        <v>249</v>
      </c>
      <c r="AB145" s="2" t="s">
        <v>193</v>
      </c>
      <c r="AC145" s="2">
        <f t="shared" si="3"/>
        <v>1</v>
      </c>
      <c r="AD145" s="2">
        <f>IF(AC145=1,COUNTIF($AC$2:AC145,1),"")</f>
        <v>141</v>
      </c>
      <c r="AE145" s="2" t="str">
        <f>IFERROR(INDEX($Y$2:$Y$253,MATCH(ROWS($AD$2:AD145),$AD$2:$AD$253,0)),"")</f>
        <v>Martinique</v>
      </c>
    </row>
    <row r="146" spans="25:31" x14ac:dyDescent="0.25">
      <c r="Y146" s="2" t="s">
        <v>129</v>
      </c>
      <c r="Z146" s="2" t="s">
        <v>466</v>
      </c>
      <c r="AA146" s="2" t="s">
        <v>467</v>
      </c>
      <c r="AB146" s="2" t="s">
        <v>409</v>
      </c>
      <c r="AC146" s="2">
        <f t="shared" si="3"/>
        <v>1</v>
      </c>
      <c r="AD146" s="2">
        <f>IF(AC146=1,COUNTIF($AC$2:AC146,1),"")</f>
        <v>142</v>
      </c>
      <c r="AE146" s="2" t="str">
        <f>IFERROR(INDEX($Y$2:$Y$253,MATCH(ROWS($AD$2:AD146),$AD$2:$AD$253,0)),"")</f>
        <v>Mauritania</v>
      </c>
    </row>
    <row r="147" spans="25:31" x14ac:dyDescent="0.25">
      <c r="Y147" s="2" t="s">
        <v>171</v>
      </c>
      <c r="Z147" s="2" t="s">
        <v>708</v>
      </c>
      <c r="AA147" s="2" t="s">
        <v>709</v>
      </c>
      <c r="AB147" s="2" t="s">
        <v>688</v>
      </c>
      <c r="AC147" s="2">
        <f t="shared" si="3"/>
        <v>1</v>
      </c>
      <c r="AD147" s="2">
        <f>IF(AC147=1,COUNTIF($AC$2:AC147,1),"")</f>
        <v>143</v>
      </c>
      <c r="AE147" s="2" t="str">
        <f>IFERROR(INDEX($Y$2:$Y$253,MATCH(ROWS($AD$2:AD147),$AD$2:$AD$253,0)),"")</f>
        <v>Mauritius</v>
      </c>
    </row>
    <row r="148" spans="25:31" x14ac:dyDescent="0.25">
      <c r="Y148" s="2" t="s">
        <v>584</v>
      </c>
      <c r="Z148" s="2" t="s">
        <v>585</v>
      </c>
      <c r="AA148" s="2" t="s">
        <v>586</v>
      </c>
      <c r="AB148" s="2" t="s">
        <v>517</v>
      </c>
      <c r="AC148" s="2">
        <f t="shared" si="3"/>
        <v>1</v>
      </c>
      <c r="AD148" s="2">
        <f>IF(AC148=1,COUNTIF($AC$2:AC148,1),"")</f>
        <v>144</v>
      </c>
      <c r="AE148" s="2" t="str">
        <f>IFERROR(INDEX($Y$2:$Y$253,MATCH(ROWS($AD$2:AD148),$AD$2:$AD$253,0)),"")</f>
        <v>Mayotte</v>
      </c>
    </row>
    <row r="149" spans="25:31" x14ac:dyDescent="0.25">
      <c r="Y149" s="2" t="s">
        <v>30</v>
      </c>
      <c r="Z149" s="2" t="s">
        <v>250</v>
      </c>
      <c r="AA149" s="2" t="s">
        <v>251</v>
      </c>
      <c r="AB149" s="2" t="s">
        <v>193</v>
      </c>
      <c r="AC149" s="2">
        <f t="shared" si="3"/>
        <v>1</v>
      </c>
      <c r="AD149" s="2">
        <f>IF(AC149=1,COUNTIF($AC$2:AC149,1),"")</f>
        <v>145</v>
      </c>
      <c r="AE149" s="2" t="str">
        <f>IFERROR(INDEX($Y$2:$Y$253,MATCH(ROWS($AD$2:AD149),$AD$2:$AD$253,0)),"")</f>
        <v>Mexico</v>
      </c>
    </row>
    <row r="150" spans="25:31" x14ac:dyDescent="0.25">
      <c r="Y150" s="2" t="s">
        <v>31</v>
      </c>
      <c r="Z150" s="2" t="s">
        <v>252</v>
      </c>
      <c r="AA150" s="2" t="s">
        <v>253</v>
      </c>
      <c r="AB150" s="2" t="s">
        <v>193</v>
      </c>
      <c r="AC150" s="2">
        <f t="shared" si="3"/>
        <v>1</v>
      </c>
      <c r="AD150" s="2">
        <f>IF(AC150=1,COUNTIF($AC$2:AC150,1),"")</f>
        <v>146</v>
      </c>
      <c r="AE150" s="2" t="str">
        <f>IFERROR(INDEX($Y$2:$Y$253,MATCH(ROWS($AD$2:AD150),$AD$2:$AD$253,0)),"")</f>
        <v>Micronesia (Federated States of)</v>
      </c>
    </row>
    <row r="151" spans="25:31" x14ac:dyDescent="0.25">
      <c r="Y151" s="2" t="s">
        <v>587</v>
      </c>
      <c r="Z151" s="2" t="s">
        <v>588</v>
      </c>
      <c r="AA151" s="2" t="s">
        <v>589</v>
      </c>
      <c r="AB151" s="2" t="s">
        <v>517</v>
      </c>
      <c r="AC151" s="2">
        <f t="shared" si="3"/>
        <v>1</v>
      </c>
      <c r="AD151" s="2">
        <f>IF(AC151=1,COUNTIF($AC$2:AC151,1),"")</f>
        <v>147</v>
      </c>
      <c r="AE151" s="2" t="str">
        <f>IFERROR(INDEX($Y$2:$Y$253,MATCH(ROWS($AD$2:AD151),$AD$2:$AD$253,0)),"")</f>
        <v>Monaco</v>
      </c>
    </row>
    <row r="152" spans="25:31" x14ac:dyDescent="0.25">
      <c r="Y152" s="2" t="s">
        <v>68</v>
      </c>
      <c r="Z152" s="2" t="s">
        <v>335</v>
      </c>
      <c r="AA152" s="2" t="s">
        <v>336</v>
      </c>
      <c r="AB152" s="2" t="s">
        <v>291</v>
      </c>
      <c r="AC152" s="2">
        <f t="shared" si="3"/>
        <v>1</v>
      </c>
      <c r="AD152" s="2">
        <f>IF(AC152=1,COUNTIF($AC$2:AC152,1),"")</f>
        <v>148</v>
      </c>
      <c r="AE152" s="2" t="str">
        <f>IFERROR(INDEX($Y$2:$Y$253,MATCH(ROWS($AD$2:AD152),$AD$2:$AD$253,0)),"")</f>
        <v>Mongolia</v>
      </c>
    </row>
    <row r="153" spans="25:31" x14ac:dyDescent="0.25">
      <c r="Y153" s="2" t="s">
        <v>172</v>
      </c>
      <c r="Z153" s="2" t="s">
        <v>710</v>
      </c>
      <c r="AA153" s="2" t="s">
        <v>711</v>
      </c>
      <c r="AB153" s="2" t="s">
        <v>688</v>
      </c>
      <c r="AC153" s="2">
        <f t="shared" si="3"/>
        <v>1</v>
      </c>
      <c r="AD153" s="2">
        <f>IF(AC153=1,COUNTIF($AC$2:AC153,1),"")</f>
        <v>149</v>
      </c>
      <c r="AE153" s="2" t="str">
        <f>IFERROR(INDEX($Y$2:$Y$253,MATCH(ROWS($AD$2:AD153),$AD$2:$AD$253,0)),"")</f>
        <v>Montenegro</v>
      </c>
    </row>
    <row r="154" spans="25:31" x14ac:dyDescent="0.25">
      <c r="Y154" s="2" t="s">
        <v>130</v>
      </c>
      <c r="Z154" s="2" t="s">
        <v>468</v>
      </c>
      <c r="AA154" s="2" t="s">
        <v>469</v>
      </c>
      <c r="AB154" s="2" t="s">
        <v>409</v>
      </c>
      <c r="AC154" s="2">
        <f t="shared" si="3"/>
        <v>1</v>
      </c>
      <c r="AD154" s="2">
        <f>IF(AC154=1,COUNTIF($AC$2:AC154,1),"")</f>
        <v>150</v>
      </c>
      <c r="AE154" s="2" t="str">
        <f>IFERROR(INDEX($Y$2:$Y$253,MATCH(ROWS($AD$2:AD154),$AD$2:$AD$253,0)),"")</f>
        <v>Montserrat</v>
      </c>
    </row>
    <row r="155" spans="25:31" x14ac:dyDescent="0.25">
      <c r="Y155" s="2" t="s">
        <v>173</v>
      </c>
      <c r="Z155" s="2" t="s">
        <v>712</v>
      </c>
      <c r="AA155" s="2" t="s">
        <v>713</v>
      </c>
      <c r="AB155" s="2" t="s">
        <v>688</v>
      </c>
      <c r="AC155" s="2">
        <f t="shared" si="3"/>
        <v>1</v>
      </c>
      <c r="AD155" s="2">
        <f>IF(AC155=1,COUNTIF($AC$2:AC155,1),"")</f>
        <v>151</v>
      </c>
      <c r="AE155" s="2" t="str">
        <f>IFERROR(INDEX($Y$2:$Y$253,MATCH(ROWS($AD$2:AD155),$AD$2:$AD$253,0)),"")</f>
        <v>Morocco</v>
      </c>
    </row>
    <row r="156" spans="25:31" x14ac:dyDescent="0.25">
      <c r="Y156" s="2" t="s">
        <v>131</v>
      </c>
      <c r="Z156" s="2" t="s">
        <v>470</v>
      </c>
      <c r="AA156" s="2" t="s">
        <v>471</v>
      </c>
      <c r="AB156" s="2" t="s">
        <v>409</v>
      </c>
      <c r="AC156" s="2">
        <f t="shared" si="3"/>
        <v>1</v>
      </c>
      <c r="AD156" s="2">
        <f>IF(AC156=1,COUNTIF($AC$2:AC156,1),"")</f>
        <v>152</v>
      </c>
      <c r="AE156" s="2" t="str">
        <f>IFERROR(INDEX($Y$2:$Y$253,MATCH(ROWS($AD$2:AD156),$AD$2:$AD$253,0)),"")</f>
        <v>Mozambique</v>
      </c>
    </row>
    <row r="157" spans="25:31" x14ac:dyDescent="0.25">
      <c r="Y157" s="2" t="s">
        <v>590</v>
      </c>
      <c r="Z157" s="2" t="s">
        <v>591</v>
      </c>
      <c r="AA157" s="2" t="s">
        <v>592</v>
      </c>
      <c r="AB157" s="2" t="s">
        <v>291</v>
      </c>
      <c r="AC157" s="2">
        <f t="shared" si="3"/>
        <v>1</v>
      </c>
      <c r="AD157" s="2">
        <f>IF(AC157=1,COUNTIF($AC$2:AC157,1),"")</f>
        <v>153</v>
      </c>
      <c r="AE157" s="2" t="str">
        <f>IFERROR(INDEX($Y$2:$Y$253,MATCH(ROWS($AD$2:AD157),$AD$2:$AD$253,0)),"")</f>
        <v>Myanmar</v>
      </c>
    </row>
    <row r="158" spans="25:31" x14ac:dyDescent="0.25">
      <c r="Y158" s="2" t="s">
        <v>90</v>
      </c>
      <c r="Z158" s="2" t="s">
        <v>383</v>
      </c>
      <c r="AA158" s="2" t="s">
        <v>384</v>
      </c>
      <c r="AB158" s="2" t="s">
        <v>363</v>
      </c>
      <c r="AC158" s="2">
        <f t="shared" si="3"/>
        <v>1</v>
      </c>
      <c r="AD158" s="2">
        <f>IF(AC158=1,COUNTIF($AC$2:AC158,1),"")</f>
        <v>154</v>
      </c>
      <c r="AE158" s="2" t="str">
        <f>IFERROR(INDEX($Y$2:$Y$253,MATCH(ROWS($AD$2:AD158),$AD$2:$AD$253,0)),"")</f>
        <v>Namibia</v>
      </c>
    </row>
    <row r="159" spans="25:31" x14ac:dyDescent="0.25">
      <c r="Y159" s="2" t="s">
        <v>32</v>
      </c>
      <c r="Z159" s="2" t="s">
        <v>254</v>
      </c>
      <c r="AA159" s="2" t="s">
        <v>255</v>
      </c>
      <c r="AB159" s="2" t="s">
        <v>193</v>
      </c>
      <c r="AC159" s="2">
        <f t="shared" si="3"/>
        <v>1</v>
      </c>
      <c r="AD159" s="2">
        <f>IF(AC159=1,COUNTIF($AC$2:AC159,1),"")</f>
        <v>155</v>
      </c>
      <c r="AE159" s="2" t="str">
        <f>IFERROR(INDEX($Y$2:$Y$253,MATCH(ROWS($AD$2:AD159),$AD$2:$AD$253,0)),"")</f>
        <v>Nauru</v>
      </c>
    </row>
    <row r="160" spans="25:31" x14ac:dyDescent="0.25">
      <c r="Y160" s="2" t="s">
        <v>157</v>
      </c>
      <c r="Z160" s="2" t="s">
        <v>676</v>
      </c>
      <c r="AA160" s="2" t="s">
        <v>677</v>
      </c>
      <c r="AB160" s="2" t="s">
        <v>665</v>
      </c>
      <c r="AC160" s="2">
        <f t="shared" si="3"/>
        <v>1</v>
      </c>
      <c r="AD160" s="2">
        <f>IF(AC160=1,COUNTIF($AC$2:AC160,1),"")</f>
        <v>156</v>
      </c>
      <c r="AE160" s="2" t="str">
        <f>IFERROR(INDEX($Y$2:$Y$253,MATCH(ROWS($AD$2:AD160),$AD$2:$AD$253,0)),"")</f>
        <v>Nepal</v>
      </c>
    </row>
    <row r="161" spans="25:31" x14ac:dyDescent="0.25">
      <c r="Y161" s="2" t="s">
        <v>33</v>
      </c>
      <c r="Z161" s="2" t="s">
        <v>256</v>
      </c>
      <c r="AA161" s="2" t="s">
        <v>257</v>
      </c>
      <c r="AB161" s="2" t="s">
        <v>193</v>
      </c>
      <c r="AC161" s="2">
        <f t="shared" si="3"/>
        <v>1</v>
      </c>
      <c r="AD161" s="2">
        <f>IF(AC161=1,COUNTIF($AC$2:AC161,1),"")</f>
        <v>157</v>
      </c>
      <c r="AE161" s="2" t="str">
        <f>IFERROR(INDEX($Y$2:$Y$253,MATCH(ROWS($AD$2:AD161),$AD$2:$AD$253,0)),"")</f>
        <v>Netherlands</v>
      </c>
    </row>
    <row r="162" spans="25:31" x14ac:dyDescent="0.25">
      <c r="Y162" s="2" t="s">
        <v>174</v>
      </c>
      <c r="Z162" s="2" t="s">
        <v>714</v>
      </c>
      <c r="AA162" s="2" t="s">
        <v>715</v>
      </c>
      <c r="AB162" s="2" t="s">
        <v>688</v>
      </c>
      <c r="AC162" s="2">
        <f t="shared" si="3"/>
        <v>1</v>
      </c>
      <c r="AD162" s="2">
        <f>IF(AC162=1,COUNTIF($AC$2:AC162,1),"")</f>
        <v>158</v>
      </c>
      <c r="AE162" s="2" t="str">
        <f>IFERROR(INDEX($Y$2:$Y$253,MATCH(ROWS($AD$2:AD162),$AD$2:$AD$253,0)),"")</f>
        <v>Netherlands Antilles</v>
      </c>
    </row>
    <row r="163" spans="25:31" x14ac:dyDescent="0.25">
      <c r="Y163" s="2" t="s">
        <v>158</v>
      </c>
      <c r="Z163" s="2" t="s">
        <v>678</v>
      </c>
      <c r="AA163" s="2" t="s">
        <v>679</v>
      </c>
      <c r="AB163" s="2" t="s">
        <v>665</v>
      </c>
      <c r="AC163" s="2">
        <f t="shared" si="3"/>
        <v>1</v>
      </c>
      <c r="AD163" s="2">
        <f>IF(AC163=1,COUNTIF($AC$2:AC163,1),"")</f>
        <v>159</v>
      </c>
      <c r="AE163" s="2" t="str">
        <f>IFERROR(INDEX($Y$2:$Y$253,MATCH(ROWS($AD$2:AD163),$AD$2:$AD$253,0)),"")</f>
        <v>New Caledonia</v>
      </c>
    </row>
    <row r="164" spans="25:31" x14ac:dyDescent="0.25">
      <c r="Y164" s="2" t="s">
        <v>132</v>
      </c>
      <c r="Z164" s="2" t="s">
        <v>472</v>
      </c>
      <c r="AA164" s="2" t="s">
        <v>473</v>
      </c>
      <c r="AB164" s="2" t="s">
        <v>409</v>
      </c>
      <c r="AC164" s="2">
        <f t="shared" si="3"/>
        <v>1</v>
      </c>
      <c r="AD164" s="2">
        <f>IF(AC164=1,COUNTIF($AC$2:AC164,1),"")</f>
        <v>160</v>
      </c>
      <c r="AE164" s="2" t="str">
        <f>IFERROR(INDEX($Y$2:$Y$253,MATCH(ROWS($AD$2:AD164),$AD$2:$AD$253,0)),"")</f>
        <v>New Zealand</v>
      </c>
    </row>
    <row r="165" spans="25:31" x14ac:dyDescent="0.25">
      <c r="Y165" s="2" t="s">
        <v>593</v>
      </c>
      <c r="Z165" s="2" t="s">
        <v>594</v>
      </c>
      <c r="AA165" s="2" t="s">
        <v>595</v>
      </c>
      <c r="AB165" s="2" t="s">
        <v>517</v>
      </c>
      <c r="AC165" s="2">
        <f t="shared" si="3"/>
        <v>1</v>
      </c>
      <c r="AD165" s="2">
        <f>IF(AC165=1,COUNTIF($AC$2:AC165,1),"")</f>
        <v>161</v>
      </c>
      <c r="AE165" s="2" t="str">
        <f>IFERROR(INDEX($Y$2:$Y$253,MATCH(ROWS($AD$2:AD165),$AD$2:$AD$253,0)),"")</f>
        <v>Nicaragua</v>
      </c>
    </row>
    <row r="166" spans="25:31" x14ac:dyDescent="0.25">
      <c r="Y166" s="2" t="s">
        <v>596</v>
      </c>
      <c r="Z166" s="2" t="s">
        <v>597</v>
      </c>
      <c r="AA166" s="2" t="s">
        <v>598</v>
      </c>
      <c r="AB166" s="2" t="s">
        <v>688</v>
      </c>
      <c r="AC166" s="2">
        <f t="shared" si="3"/>
        <v>1</v>
      </c>
      <c r="AD166" s="2">
        <f>IF(AC166=1,COUNTIF($AC$2:AC166,1),"")</f>
        <v>162</v>
      </c>
      <c r="AE166" s="2" t="str">
        <f>IFERROR(INDEX($Y$2:$Y$253,MATCH(ROWS($AD$2:AD166),$AD$2:$AD$253,0)),"")</f>
        <v>Niger</v>
      </c>
    </row>
    <row r="167" spans="25:31" x14ac:dyDescent="0.25">
      <c r="Y167" s="2" t="s">
        <v>175</v>
      </c>
      <c r="Z167" s="2" t="s">
        <v>716</v>
      </c>
      <c r="AA167" s="2" t="s">
        <v>717</v>
      </c>
      <c r="AB167" s="2" t="s">
        <v>688</v>
      </c>
      <c r="AC167" s="2">
        <f t="shared" si="3"/>
        <v>1</v>
      </c>
      <c r="AD167" s="2">
        <f>IF(AC167=1,COUNTIF($AC$2:AC167,1),"")</f>
        <v>163</v>
      </c>
      <c r="AE167" s="2" t="str">
        <f>IFERROR(INDEX($Y$2:$Y$253,MATCH(ROWS($AD$2:AD167),$AD$2:$AD$253,0)),"")</f>
        <v>Nigeria</v>
      </c>
    </row>
    <row r="168" spans="25:31" x14ac:dyDescent="0.25">
      <c r="Y168" s="2" t="s">
        <v>69</v>
      </c>
      <c r="Z168" s="2" t="s">
        <v>337</v>
      </c>
      <c r="AA168" s="2" t="s">
        <v>338</v>
      </c>
      <c r="AB168" s="2" t="s">
        <v>291</v>
      </c>
      <c r="AC168" s="2">
        <f t="shared" si="3"/>
        <v>1</v>
      </c>
      <c r="AD168" s="2">
        <f>IF(AC168=1,COUNTIF($AC$2:AC168,1),"")</f>
        <v>164</v>
      </c>
      <c r="AE168" s="2" t="str">
        <f>IFERROR(INDEX($Y$2:$Y$253,MATCH(ROWS($AD$2:AD168),$AD$2:$AD$253,0)),"")</f>
        <v>Niue</v>
      </c>
    </row>
    <row r="169" spans="25:31" x14ac:dyDescent="0.25">
      <c r="Y169" s="2" t="s">
        <v>34</v>
      </c>
      <c r="Z169" s="2" t="s">
        <v>258</v>
      </c>
      <c r="AA169" s="2" t="s">
        <v>259</v>
      </c>
      <c r="AB169" s="2" t="s">
        <v>193</v>
      </c>
      <c r="AC169" s="2">
        <f t="shared" si="3"/>
        <v>1</v>
      </c>
      <c r="AD169" s="2">
        <f>IF(AC169=1,COUNTIF($AC$2:AC169,1),"")</f>
        <v>165</v>
      </c>
      <c r="AE169" s="2" t="str">
        <f>IFERROR(INDEX($Y$2:$Y$253,MATCH(ROWS($AD$2:AD169),$AD$2:$AD$253,0)),"")</f>
        <v>Norfolk Island</v>
      </c>
    </row>
    <row r="170" spans="25:31" x14ac:dyDescent="0.25">
      <c r="Y170" s="2" t="s">
        <v>35</v>
      </c>
      <c r="Z170" s="2" t="s">
        <v>260</v>
      </c>
      <c r="AA170" s="2" t="s">
        <v>261</v>
      </c>
      <c r="AB170" s="2" t="s">
        <v>193</v>
      </c>
      <c r="AC170" s="2">
        <f t="shared" si="3"/>
        <v>1</v>
      </c>
      <c r="AD170" s="2">
        <f>IF(AC170=1,COUNTIF($AC$2:AC170,1),"")</f>
        <v>166</v>
      </c>
      <c r="AE170" s="2" t="str">
        <f>IFERROR(INDEX($Y$2:$Y$253,MATCH(ROWS($AD$2:AD170),$AD$2:$AD$253,0)),"")</f>
        <v>North Macedonia</v>
      </c>
    </row>
    <row r="171" spans="25:31" x14ac:dyDescent="0.25">
      <c r="Y171" s="2" t="s">
        <v>176</v>
      </c>
      <c r="Z171" s="2" t="s">
        <v>718</v>
      </c>
      <c r="AA171" s="2" t="s">
        <v>719</v>
      </c>
      <c r="AB171" s="2" t="s">
        <v>688</v>
      </c>
      <c r="AC171" s="2">
        <f t="shared" si="3"/>
        <v>1</v>
      </c>
      <c r="AD171" s="2">
        <f>IF(AC171=1,COUNTIF($AC$2:AC171,1),"")</f>
        <v>167</v>
      </c>
      <c r="AE171" s="2" t="str">
        <f>IFERROR(INDEX($Y$2:$Y$253,MATCH(ROWS($AD$2:AD171),$AD$2:$AD$253,0)),"")</f>
        <v>Northern Mariana Islands</v>
      </c>
    </row>
    <row r="172" spans="25:31" x14ac:dyDescent="0.25">
      <c r="Y172" s="2" t="s">
        <v>599</v>
      </c>
      <c r="Z172" s="2" t="s">
        <v>600</v>
      </c>
      <c r="AA172" s="2" t="s">
        <v>601</v>
      </c>
      <c r="AB172" s="2" t="s">
        <v>517</v>
      </c>
      <c r="AC172" s="2">
        <f t="shared" si="3"/>
        <v>1</v>
      </c>
      <c r="AD172" s="2">
        <f>IF(AC172=1,COUNTIF($AC$2:AC172,1),"")</f>
        <v>168</v>
      </c>
      <c r="AE172" s="2" t="str">
        <f>IFERROR(INDEX($Y$2:$Y$253,MATCH(ROWS($AD$2:AD172),$AD$2:$AD$253,0)),"")</f>
        <v>Norway</v>
      </c>
    </row>
    <row r="173" spans="25:31" x14ac:dyDescent="0.25">
      <c r="Y173" s="2" t="s">
        <v>819</v>
      </c>
      <c r="Z173" s="2" t="s">
        <v>502</v>
      </c>
      <c r="AA173" s="2" t="s">
        <v>503</v>
      </c>
      <c r="AB173" s="2" t="s">
        <v>409</v>
      </c>
      <c r="AC173" s="2">
        <f t="shared" si="3"/>
        <v>1</v>
      </c>
      <c r="AD173" s="2">
        <f>IF(AC173=1,COUNTIF($AC$2:AC173,1),"")</f>
        <v>169</v>
      </c>
      <c r="AE173" s="2" t="str">
        <f>IFERROR(INDEX($Y$2:$Y$253,MATCH(ROWS($AD$2:AD173),$AD$2:$AD$253,0)),"")</f>
        <v>Oman</v>
      </c>
    </row>
    <row r="174" spans="25:31" x14ac:dyDescent="0.25">
      <c r="Y174" s="2" t="s">
        <v>602</v>
      </c>
      <c r="Z174" s="2" t="s">
        <v>603</v>
      </c>
      <c r="AA174" s="2" t="s">
        <v>604</v>
      </c>
      <c r="AB174" s="2" t="s">
        <v>688</v>
      </c>
      <c r="AC174" s="2">
        <f t="shared" si="3"/>
        <v>1</v>
      </c>
      <c r="AD174" s="2">
        <f>IF(AC174=1,COUNTIF($AC$2:AC174,1),"")</f>
        <v>170</v>
      </c>
      <c r="AE174" s="2" t="str">
        <f>IFERROR(INDEX($Y$2:$Y$253,MATCH(ROWS($AD$2:AD174),$AD$2:$AD$253,0)),"")</f>
        <v>Pakistan</v>
      </c>
    </row>
    <row r="175" spans="25:31" x14ac:dyDescent="0.25">
      <c r="Y175" s="2" t="s">
        <v>133</v>
      </c>
      <c r="Z175" s="2" t="s">
        <v>474</v>
      </c>
      <c r="AA175" s="2" t="s">
        <v>475</v>
      </c>
      <c r="AB175" s="2" t="s">
        <v>409</v>
      </c>
      <c r="AC175" s="2">
        <f t="shared" si="3"/>
        <v>1</v>
      </c>
      <c r="AD175" s="2">
        <f>IF(AC175=1,COUNTIF($AC$2:AC175,1),"")</f>
        <v>171</v>
      </c>
      <c r="AE175" s="2" t="str">
        <f>IFERROR(INDEX($Y$2:$Y$253,MATCH(ROWS($AD$2:AD175),$AD$2:$AD$253,0)),"")</f>
        <v>Palau</v>
      </c>
    </row>
    <row r="176" spans="25:31" x14ac:dyDescent="0.25">
      <c r="Y176" s="2" t="s">
        <v>91</v>
      </c>
      <c r="Z176" s="2" t="s">
        <v>385</v>
      </c>
      <c r="AA176" s="2" t="s">
        <v>386</v>
      </c>
      <c r="AB176" s="2" t="s">
        <v>363</v>
      </c>
      <c r="AC176" s="2">
        <f t="shared" si="3"/>
        <v>1</v>
      </c>
      <c r="AD176" s="2">
        <f>IF(AC176=1,COUNTIF($AC$2:AC176,1),"")</f>
        <v>172</v>
      </c>
      <c r="AE176" s="2" t="str">
        <f>IFERROR(INDEX($Y$2:$Y$253,MATCH(ROWS($AD$2:AD176),$AD$2:$AD$253,0)),"")</f>
        <v>Panama</v>
      </c>
    </row>
    <row r="177" spans="25:31" x14ac:dyDescent="0.25">
      <c r="Y177" s="2" t="s">
        <v>92</v>
      </c>
      <c r="Z177" s="2" t="s">
        <v>387</v>
      </c>
      <c r="AA177" s="2" t="s">
        <v>388</v>
      </c>
      <c r="AB177" s="2" t="s">
        <v>363</v>
      </c>
      <c r="AC177" s="2">
        <f t="shared" si="3"/>
        <v>1</v>
      </c>
      <c r="AD177" s="2">
        <f>IF(AC177=1,COUNTIF($AC$2:AC177,1),"")</f>
        <v>173</v>
      </c>
      <c r="AE177" s="2" t="str">
        <f>IFERROR(INDEX($Y$2:$Y$253,MATCH(ROWS($AD$2:AD177),$AD$2:$AD$253,0)),"")</f>
        <v>Papua New Guinea</v>
      </c>
    </row>
    <row r="178" spans="25:31" x14ac:dyDescent="0.25">
      <c r="Y178" s="2" t="s">
        <v>720</v>
      </c>
      <c r="Z178" s="2" t="s">
        <v>721</v>
      </c>
      <c r="AA178" s="2" t="s">
        <v>722</v>
      </c>
      <c r="AB178" s="2" t="s">
        <v>688</v>
      </c>
      <c r="AC178" s="2">
        <f t="shared" si="3"/>
        <v>1</v>
      </c>
      <c r="AD178" s="2">
        <f>IF(AC178=1,COUNTIF($AC$2:AC178,1),"")</f>
        <v>174</v>
      </c>
      <c r="AE178" s="2" t="str">
        <f>IFERROR(INDEX($Y$2:$Y$253,MATCH(ROWS($AD$2:AD178),$AD$2:$AD$253,0)),"")</f>
        <v>Paraguay</v>
      </c>
    </row>
    <row r="179" spans="25:31" x14ac:dyDescent="0.25">
      <c r="Y179" s="2" t="s">
        <v>70</v>
      </c>
      <c r="Z179" s="2" t="s">
        <v>339</v>
      </c>
      <c r="AA179" s="2" t="s">
        <v>340</v>
      </c>
      <c r="AB179" s="2" t="s">
        <v>291</v>
      </c>
      <c r="AC179" s="2">
        <f t="shared" si="3"/>
        <v>1</v>
      </c>
      <c r="AD179" s="2">
        <f>IF(AC179=1,COUNTIF($AC$2:AC179,1),"")</f>
        <v>175</v>
      </c>
      <c r="AE179" s="2" t="str">
        <f>IFERROR(INDEX($Y$2:$Y$253,MATCH(ROWS($AD$2:AD179),$AD$2:$AD$253,0)),"")</f>
        <v>Peru</v>
      </c>
    </row>
    <row r="180" spans="25:31" x14ac:dyDescent="0.25">
      <c r="Y180" s="2" t="s">
        <v>177</v>
      </c>
      <c r="Z180" s="2" t="s">
        <v>723</v>
      </c>
      <c r="AA180" s="2" t="s">
        <v>724</v>
      </c>
      <c r="AB180" s="2" t="s">
        <v>688</v>
      </c>
      <c r="AC180" s="2">
        <f t="shared" si="3"/>
        <v>1</v>
      </c>
      <c r="AD180" s="2">
        <f>IF(AC180=1,COUNTIF($AC$2:AC180,1),"")</f>
        <v>176</v>
      </c>
      <c r="AE180" s="2" t="str">
        <f>IFERROR(INDEX($Y$2:$Y$253,MATCH(ROWS($AD$2:AD180),$AD$2:$AD$253,0)),"")</f>
        <v>Philippines</v>
      </c>
    </row>
    <row r="181" spans="25:31" x14ac:dyDescent="0.25">
      <c r="Y181" s="2" t="s">
        <v>71</v>
      </c>
      <c r="Z181" s="2" t="s">
        <v>341</v>
      </c>
      <c r="AA181" s="2" t="s">
        <v>342</v>
      </c>
      <c r="AB181" s="2" t="s">
        <v>291</v>
      </c>
      <c r="AC181" s="2">
        <f t="shared" si="3"/>
        <v>1</v>
      </c>
      <c r="AD181" s="2">
        <f>IF(AC181=1,COUNTIF($AC$2:AC181,1),"")</f>
        <v>177</v>
      </c>
      <c r="AE181" s="2" t="str">
        <f>IFERROR(INDEX($Y$2:$Y$253,MATCH(ROWS($AD$2:AD181),$AD$2:$AD$253,0)),"")</f>
        <v>Pitcairn</v>
      </c>
    </row>
    <row r="182" spans="25:31" x14ac:dyDescent="0.25">
      <c r="Y182" s="2" t="s">
        <v>72</v>
      </c>
      <c r="Z182" s="2" t="s">
        <v>343</v>
      </c>
      <c r="AA182" s="2" t="s">
        <v>344</v>
      </c>
      <c r="AB182" s="2" t="s">
        <v>291</v>
      </c>
      <c r="AC182" s="2">
        <f t="shared" si="3"/>
        <v>1</v>
      </c>
      <c r="AD182" s="2">
        <f>IF(AC182=1,COUNTIF($AC$2:AC182,1),"")</f>
        <v>178</v>
      </c>
      <c r="AE182" s="2" t="str">
        <f>IFERROR(INDEX($Y$2:$Y$253,MATCH(ROWS($AD$2:AD182),$AD$2:$AD$253,0)),"")</f>
        <v>Poland</v>
      </c>
    </row>
    <row r="183" spans="25:31" x14ac:dyDescent="0.25">
      <c r="Y183" s="2" t="s">
        <v>178</v>
      </c>
      <c r="Z183" s="2" t="s">
        <v>725</v>
      </c>
      <c r="AA183" s="2" t="s">
        <v>726</v>
      </c>
      <c r="AB183" s="2" t="s">
        <v>688</v>
      </c>
      <c r="AC183" s="2">
        <f t="shared" si="3"/>
        <v>1</v>
      </c>
      <c r="AD183" s="2">
        <f>IF(AC183=1,COUNTIF($AC$2:AC183,1),"")</f>
        <v>179</v>
      </c>
      <c r="AE183" s="2" t="str">
        <f>IFERROR(INDEX($Y$2:$Y$253,MATCH(ROWS($AD$2:AD183),$AD$2:$AD$253,0)),"")</f>
        <v>Portugal</v>
      </c>
    </row>
    <row r="184" spans="25:31" x14ac:dyDescent="0.25">
      <c r="Y184" s="2" t="s">
        <v>820</v>
      </c>
      <c r="Z184" s="2" t="s">
        <v>605</v>
      </c>
      <c r="AA184" s="2" t="s">
        <v>606</v>
      </c>
      <c r="AB184" s="2" t="s">
        <v>517</v>
      </c>
      <c r="AC184" s="2">
        <f t="shared" si="3"/>
        <v>1</v>
      </c>
      <c r="AD184" s="2">
        <f>IF(AC184=1,COUNTIF($AC$2:AC184,1),"")</f>
        <v>180</v>
      </c>
      <c r="AE184" s="2" t="str">
        <f>IFERROR(INDEX($Y$2:$Y$253,MATCH(ROWS($AD$2:AD184),$AD$2:$AD$253,0)),"")</f>
        <v>Puerto Rico</v>
      </c>
    </row>
    <row r="185" spans="25:31" x14ac:dyDescent="0.25">
      <c r="Y185" s="2" t="s">
        <v>134</v>
      </c>
      <c r="Z185" s="2" t="s">
        <v>476</v>
      </c>
      <c r="AA185" s="2" t="s">
        <v>477</v>
      </c>
      <c r="AB185" s="2" t="s">
        <v>409</v>
      </c>
      <c r="AC185" s="2">
        <f t="shared" si="3"/>
        <v>1</v>
      </c>
      <c r="AD185" s="2">
        <f>IF(AC185=1,COUNTIF($AC$2:AC185,1),"")</f>
        <v>181</v>
      </c>
      <c r="AE185" s="2" t="str">
        <f>IFERROR(INDEX($Y$2:$Y$253,MATCH(ROWS($AD$2:AD185),$AD$2:$AD$253,0)),"")</f>
        <v>Qatar</v>
      </c>
    </row>
    <row r="186" spans="25:31" x14ac:dyDescent="0.25">
      <c r="Y186" s="2" t="s">
        <v>135</v>
      </c>
      <c r="Z186" s="2" t="s">
        <v>478</v>
      </c>
      <c r="AA186" s="2" t="s">
        <v>479</v>
      </c>
      <c r="AB186" s="2" t="s">
        <v>409</v>
      </c>
      <c r="AC186" s="2">
        <f t="shared" si="3"/>
        <v>1</v>
      </c>
      <c r="AD186" s="2">
        <f>IF(AC186=1,COUNTIF($AC$2:AC186,1),"")</f>
        <v>182</v>
      </c>
      <c r="AE186" s="2" t="str">
        <f>IFERROR(INDEX($Y$2:$Y$253,MATCH(ROWS($AD$2:AD186),$AD$2:$AD$253,0)),"")</f>
        <v>Republic of Korea</v>
      </c>
    </row>
    <row r="187" spans="25:31" x14ac:dyDescent="0.25">
      <c r="Y187" s="2" t="s">
        <v>607</v>
      </c>
      <c r="Z187" s="2" t="s">
        <v>608</v>
      </c>
      <c r="AA187" s="2" t="s">
        <v>609</v>
      </c>
      <c r="AB187" s="2" t="s">
        <v>291</v>
      </c>
      <c r="AC187" s="2">
        <f t="shared" si="3"/>
        <v>1</v>
      </c>
      <c r="AD187" s="2">
        <f>IF(AC187=1,COUNTIF($AC$2:AC187,1),"")</f>
        <v>183</v>
      </c>
      <c r="AE187" s="2" t="str">
        <f>IFERROR(INDEX($Y$2:$Y$253,MATCH(ROWS($AD$2:AD187),$AD$2:$AD$253,0)),"")</f>
        <v>Republic of Moldova</v>
      </c>
    </row>
    <row r="188" spans="25:31" x14ac:dyDescent="0.25">
      <c r="Y188" s="2" t="s">
        <v>93</v>
      </c>
      <c r="Z188" s="2" t="s">
        <v>391</v>
      </c>
      <c r="AA188" s="2" t="s">
        <v>392</v>
      </c>
      <c r="AB188" s="2" t="s">
        <v>363</v>
      </c>
      <c r="AC188" s="2">
        <f t="shared" si="3"/>
        <v>1</v>
      </c>
      <c r="AD188" s="2">
        <f>IF(AC188=1,COUNTIF($AC$2:AC188,1),"")</f>
        <v>184</v>
      </c>
      <c r="AE188" s="2" t="str">
        <f>IFERROR(INDEX($Y$2:$Y$253,MATCH(ROWS($AD$2:AD188),$AD$2:$AD$253,0)),"")</f>
        <v>Rodrigues</v>
      </c>
    </row>
    <row r="189" spans="25:31" x14ac:dyDescent="0.25">
      <c r="Y189" s="2" t="s">
        <v>179</v>
      </c>
      <c r="Z189" s="2" t="s">
        <v>727</v>
      </c>
      <c r="AA189" s="2" t="s">
        <v>728</v>
      </c>
      <c r="AB189" s="2" t="s">
        <v>688</v>
      </c>
      <c r="AC189" s="2">
        <f t="shared" si="3"/>
        <v>1</v>
      </c>
      <c r="AD189" s="2">
        <f>IF(AC189=1,COUNTIF($AC$2:AC189,1),"")</f>
        <v>185</v>
      </c>
      <c r="AE189" s="2" t="str">
        <f>IFERROR(INDEX($Y$2:$Y$253,MATCH(ROWS($AD$2:AD189),$AD$2:$AD$253,0)),"")</f>
        <v>Romania</v>
      </c>
    </row>
    <row r="190" spans="25:31" x14ac:dyDescent="0.25">
      <c r="Y190" s="2" t="s">
        <v>136</v>
      </c>
      <c r="Z190" s="2" t="s">
        <v>480</v>
      </c>
      <c r="AA190" s="2" t="s">
        <v>481</v>
      </c>
      <c r="AB190" s="2" t="s">
        <v>409</v>
      </c>
      <c r="AC190" s="2">
        <f t="shared" si="3"/>
        <v>1</v>
      </c>
      <c r="AD190" s="2">
        <f>IF(AC190=1,COUNTIF($AC$2:AC190,1),"")</f>
        <v>186</v>
      </c>
      <c r="AE190" s="2" t="str">
        <f>IFERROR(INDEX($Y$2:$Y$253,MATCH(ROWS($AD$2:AD190),$AD$2:$AD$253,0)),"")</f>
        <v>Russian Federation</v>
      </c>
    </row>
    <row r="191" spans="25:31" x14ac:dyDescent="0.25">
      <c r="Y191" s="2" t="s">
        <v>610</v>
      </c>
      <c r="Z191" s="2" t="s">
        <v>611</v>
      </c>
      <c r="AA191" s="2" t="s">
        <v>612</v>
      </c>
      <c r="AB191" s="2" t="s">
        <v>517</v>
      </c>
      <c r="AC191" s="2">
        <f t="shared" si="3"/>
        <v>1</v>
      </c>
      <c r="AD191" s="2">
        <f>IF(AC191=1,COUNTIF($AC$2:AC191,1),"")</f>
        <v>187</v>
      </c>
      <c r="AE191" s="2" t="str">
        <f>IFERROR(INDEX($Y$2:$Y$253,MATCH(ROWS($AD$2:AD191),$AD$2:$AD$253,0)),"")</f>
        <v>Rwanda</v>
      </c>
    </row>
    <row r="192" spans="25:31" x14ac:dyDescent="0.25">
      <c r="Y192" s="2" t="s">
        <v>137</v>
      </c>
      <c r="Z192" s="2" t="s">
        <v>482</v>
      </c>
      <c r="AA192" s="2" t="s">
        <v>483</v>
      </c>
      <c r="AB192" s="2" t="s">
        <v>409</v>
      </c>
      <c r="AC192" s="2">
        <f t="shared" si="3"/>
        <v>1</v>
      </c>
      <c r="AD192" s="2">
        <f>IF(AC192=1,COUNTIF($AC$2:AC192,1),"")</f>
        <v>188</v>
      </c>
      <c r="AE192" s="2" t="str">
        <f>IFERROR(INDEX($Y$2:$Y$253,MATCH(ROWS($AD$2:AD192),$AD$2:$AD$253,0)),"")</f>
        <v>Ryu Kyu Islands</v>
      </c>
    </row>
    <row r="193" spans="25:31" x14ac:dyDescent="0.25">
      <c r="Y193" s="2" t="s">
        <v>138</v>
      </c>
      <c r="Z193" s="2" t="s">
        <v>484</v>
      </c>
      <c r="AA193" s="2" t="s">
        <v>485</v>
      </c>
      <c r="AB193" s="2" t="s">
        <v>409</v>
      </c>
      <c r="AC193" s="2">
        <f t="shared" si="3"/>
        <v>1</v>
      </c>
      <c r="AD193" s="2">
        <f>IF(AC193=1,COUNTIF($AC$2:AC193,1),"")</f>
        <v>189</v>
      </c>
      <c r="AE193" s="2" t="str">
        <f>IFERROR(INDEX($Y$2:$Y$253,MATCH(ROWS($AD$2:AD193),$AD$2:$AD$253,0)),"")</f>
        <v>Réunion</v>
      </c>
    </row>
    <row r="194" spans="25:31" x14ac:dyDescent="0.25">
      <c r="Y194" s="2" t="s">
        <v>36</v>
      </c>
      <c r="Z194" s="2" t="s">
        <v>262</v>
      </c>
      <c r="AA194" s="2" t="s">
        <v>263</v>
      </c>
      <c r="AB194" s="2" t="s">
        <v>193</v>
      </c>
      <c r="AC194" s="2">
        <f t="shared" si="3"/>
        <v>1</v>
      </c>
      <c r="AD194" s="2">
        <f>IF(AC194=1,COUNTIF($AC$2:AC194,1),"")</f>
        <v>190</v>
      </c>
      <c r="AE194" s="2" t="str">
        <f>IFERROR(INDEX($Y$2:$Y$253,MATCH(ROWS($AD$2:AD194),$AD$2:$AD$253,0)),"")</f>
        <v>Saint Barthélemy</v>
      </c>
    </row>
    <row r="195" spans="25:31" x14ac:dyDescent="0.25">
      <c r="Y195" s="2" t="s">
        <v>615</v>
      </c>
      <c r="Z195" s="2" t="s">
        <v>616</v>
      </c>
      <c r="AA195" s="2" t="s">
        <v>617</v>
      </c>
      <c r="AB195" s="2" t="s">
        <v>517</v>
      </c>
      <c r="AC195" s="2">
        <f t="shared" si="3"/>
        <v>1</v>
      </c>
      <c r="AD195" s="2">
        <f>IF(AC195=1,COUNTIF($AC$2:AC195,1),"")</f>
        <v>191</v>
      </c>
      <c r="AE195" s="2" t="str">
        <f>IFERROR(INDEX($Y$2:$Y$253,MATCH(ROWS($AD$2:AD195),$AD$2:$AD$253,0)),"")</f>
        <v>Saint Helena</v>
      </c>
    </row>
    <row r="196" spans="25:31" x14ac:dyDescent="0.25">
      <c r="Y196" s="2" t="s">
        <v>821</v>
      </c>
      <c r="Z196" s="2" t="s">
        <v>613</v>
      </c>
      <c r="AA196" s="2" t="s">
        <v>614</v>
      </c>
      <c r="AB196" s="2" t="s">
        <v>517</v>
      </c>
      <c r="AC196" s="2">
        <f t="shared" si="3"/>
        <v>1</v>
      </c>
      <c r="AD196" s="2">
        <f>IF(AC196=1,COUNTIF($AC$2:AC196,1),"")</f>
        <v>192</v>
      </c>
      <c r="AE196" s="2" t="str">
        <f>IFERROR(INDEX($Y$2:$Y$253,MATCH(ROWS($AD$2:AD196),$AD$2:$AD$253,0)),"")</f>
        <v>Saint Kitts and Nevis</v>
      </c>
    </row>
    <row r="197" spans="25:31" x14ac:dyDescent="0.25">
      <c r="Y197" s="2" t="s">
        <v>822</v>
      </c>
      <c r="Z197" s="2" t="s">
        <v>823</v>
      </c>
      <c r="AA197" s="2" t="s">
        <v>824</v>
      </c>
      <c r="AB197" s="2" t="s">
        <v>517</v>
      </c>
      <c r="AC197" s="2">
        <f t="shared" ref="AC197:AC260" si="4">--ISNUMBER(IFERROR(SEARCH($V$1,Y197,1),""))</f>
        <v>1</v>
      </c>
      <c r="AD197" s="2">
        <f>IF(AC197=1,COUNTIF($AC$2:AC197,1),"")</f>
        <v>193</v>
      </c>
      <c r="AE197" s="2" t="str">
        <f>IFERROR(INDEX($Y$2:$Y$253,MATCH(ROWS($AD$2:AD197),$AD$2:$AD$253,0)),"")</f>
        <v>Saint Lucia</v>
      </c>
    </row>
    <row r="198" spans="25:31" x14ac:dyDescent="0.25">
      <c r="Y198" s="2" t="s">
        <v>618</v>
      </c>
      <c r="Z198" s="2" t="s">
        <v>619</v>
      </c>
      <c r="AA198" s="2" t="s">
        <v>620</v>
      </c>
      <c r="AB198" s="2" t="s">
        <v>517</v>
      </c>
      <c r="AC198" s="2">
        <f t="shared" si="4"/>
        <v>1</v>
      </c>
      <c r="AD198" s="2">
        <f>IF(AC198=1,COUNTIF($AC$2:AC198,1),"")</f>
        <v>194</v>
      </c>
      <c r="AE198" s="2" t="str">
        <f>IFERROR(INDEX($Y$2:$Y$253,MATCH(ROWS($AD$2:AD198),$AD$2:$AD$253,0)),"")</f>
        <v>Saint Martin (French part)</v>
      </c>
    </row>
    <row r="199" spans="25:31" x14ac:dyDescent="0.25">
      <c r="Y199" s="2" t="s">
        <v>73</v>
      </c>
      <c r="Z199" s="2" t="s">
        <v>345</v>
      </c>
      <c r="AA199" s="2" t="s">
        <v>346</v>
      </c>
      <c r="AB199" s="2" t="s">
        <v>291</v>
      </c>
      <c r="AC199" s="2">
        <f t="shared" si="4"/>
        <v>1</v>
      </c>
      <c r="AD199" s="2">
        <f>IF(AC199=1,COUNTIF($AC$2:AC199,1),"")</f>
        <v>195</v>
      </c>
      <c r="AE199" s="2" t="str">
        <f>IFERROR(INDEX($Y$2:$Y$253,MATCH(ROWS($AD$2:AD199),$AD$2:$AD$253,0)),"")</f>
        <v>Saint Pierre and Miquelon</v>
      </c>
    </row>
    <row r="200" spans="25:31" x14ac:dyDescent="0.25">
      <c r="Y200" s="2" t="s">
        <v>74</v>
      </c>
      <c r="Z200" s="2" t="s">
        <v>347</v>
      </c>
      <c r="AA200" s="2" t="s">
        <v>348</v>
      </c>
      <c r="AB200" s="2" t="s">
        <v>291</v>
      </c>
      <c r="AC200" s="2">
        <f t="shared" si="4"/>
        <v>1</v>
      </c>
      <c r="AD200" s="2">
        <f>IF(AC200=1,COUNTIF($AC$2:AC200,1),"")</f>
        <v>196</v>
      </c>
      <c r="AE200" s="2" t="str">
        <f>IFERROR(INDEX($Y$2:$Y$253,MATCH(ROWS($AD$2:AD200),$AD$2:$AD$253,0)),"")</f>
        <v>Saint Vincent and the Grenadines</v>
      </c>
    </row>
    <row r="201" spans="25:31" x14ac:dyDescent="0.25">
      <c r="Y201" s="2" t="s">
        <v>825</v>
      </c>
      <c r="Z201" s="2" t="s">
        <v>826</v>
      </c>
      <c r="AA201" s="2" t="s">
        <v>827</v>
      </c>
      <c r="AB201" s="2" t="s">
        <v>517</v>
      </c>
      <c r="AC201" s="2">
        <f t="shared" si="4"/>
        <v>1</v>
      </c>
      <c r="AD201" s="2">
        <f>IF(AC201=1,COUNTIF($AC$2:AC201,1),"")</f>
        <v>197</v>
      </c>
      <c r="AE201" s="2" t="str">
        <f>IFERROR(INDEX($Y$2:$Y$253,MATCH(ROWS($AD$2:AD201),$AD$2:$AD$253,0)),"")</f>
        <v>Samoa</v>
      </c>
    </row>
    <row r="202" spans="25:31" x14ac:dyDescent="0.25">
      <c r="Y202" s="2" t="s">
        <v>621</v>
      </c>
      <c r="Z202" s="2" t="s">
        <v>622</v>
      </c>
      <c r="AA202" s="2" t="s">
        <v>623</v>
      </c>
      <c r="AB202" s="2" t="s">
        <v>517</v>
      </c>
      <c r="AC202" s="2">
        <f t="shared" si="4"/>
        <v>1</v>
      </c>
      <c r="AD202" s="2">
        <f>IF(AC202=1,COUNTIF($AC$2:AC202,1),"")</f>
        <v>198</v>
      </c>
      <c r="AE202" s="2" t="str">
        <f>IFERROR(INDEX($Y$2:$Y$253,MATCH(ROWS($AD$2:AD202),$AD$2:$AD$253,0)),"")</f>
        <v>San Marino</v>
      </c>
    </row>
    <row r="203" spans="25:31" x14ac:dyDescent="0.25">
      <c r="Y203" s="2" t="s">
        <v>75</v>
      </c>
      <c r="Z203" s="2" t="s">
        <v>349</v>
      </c>
      <c r="AA203" s="2" t="s">
        <v>350</v>
      </c>
      <c r="AB203" s="2" t="s">
        <v>291</v>
      </c>
      <c r="AC203" s="2">
        <f t="shared" si="4"/>
        <v>1</v>
      </c>
      <c r="AD203" s="2">
        <f>IF(AC203=1,COUNTIF($AC$2:AC203,1),"")</f>
        <v>199</v>
      </c>
      <c r="AE203" s="2" t="str">
        <f>IFERROR(INDEX($Y$2:$Y$253,MATCH(ROWS($AD$2:AD203),$AD$2:$AD$253,0)),"")</f>
        <v>Sao Tome and Principe</v>
      </c>
    </row>
    <row r="204" spans="25:31" x14ac:dyDescent="0.25">
      <c r="Y204" s="2" t="s">
        <v>180</v>
      </c>
      <c r="Z204" s="2" t="s">
        <v>729</v>
      </c>
      <c r="AA204" s="2" t="s">
        <v>730</v>
      </c>
      <c r="AB204" s="2" t="s">
        <v>688</v>
      </c>
      <c r="AC204" s="2">
        <f t="shared" si="4"/>
        <v>1</v>
      </c>
      <c r="AD204" s="2">
        <f>IF(AC204=1,COUNTIF($AC$2:AC204,1),"")</f>
        <v>200</v>
      </c>
      <c r="AE204" s="2" t="str">
        <f>IFERROR(INDEX($Y$2:$Y$253,MATCH(ROWS($AD$2:AD204),$AD$2:$AD$253,0)),"")</f>
        <v>Saudi Arabia</v>
      </c>
    </row>
    <row r="205" spans="25:31" x14ac:dyDescent="0.25">
      <c r="Y205" s="2" t="s">
        <v>139</v>
      </c>
      <c r="Z205" s="2" t="s">
        <v>486</v>
      </c>
      <c r="AA205" s="2" t="s">
        <v>487</v>
      </c>
      <c r="AB205" s="2" t="s">
        <v>409</v>
      </c>
      <c r="AC205" s="2">
        <f t="shared" si="4"/>
        <v>1</v>
      </c>
      <c r="AD205" s="2">
        <f>IF(AC205=1,COUNTIF($AC$2:AC205,1),"")</f>
        <v>201</v>
      </c>
      <c r="AE205" s="2" t="str">
        <f>IFERROR(INDEX($Y$2:$Y$253,MATCH(ROWS($AD$2:AD205),$AD$2:$AD$253,0)),"")</f>
        <v>Senegal</v>
      </c>
    </row>
    <row r="206" spans="25:31" x14ac:dyDescent="0.25">
      <c r="Y206" s="2" t="s">
        <v>37</v>
      </c>
      <c r="Z206" s="2" t="s">
        <v>264</v>
      </c>
      <c r="AA206" s="2" t="s">
        <v>265</v>
      </c>
      <c r="AB206" s="2" t="s">
        <v>193</v>
      </c>
      <c r="AC206" s="2">
        <f t="shared" si="4"/>
        <v>1</v>
      </c>
      <c r="AD206" s="2">
        <f>IF(AC206=1,COUNTIF($AC$2:AC206,1),"")</f>
        <v>202</v>
      </c>
      <c r="AE206" s="2" t="str">
        <f>IFERROR(INDEX($Y$2:$Y$253,MATCH(ROWS($AD$2:AD206),$AD$2:$AD$253,0)),"")</f>
        <v>Serbia</v>
      </c>
    </row>
    <row r="207" spans="25:31" x14ac:dyDescent="0.25">
      <c r="Y207" s="2" t="s">
        <v>94</v>
      </c>
      <c r="Z207" s="2" t="s">
        <v>393</v>
      </c>
      <c r="AA207" s="2" t="s">
        <v>394</v>
      </c>
      <c r="AB207" s="2" t="s">
        <v>363</v>
      </c>
      <c r="AC207" s="2">
        <f t="shared" si="4"/>
        <v>1</v>
      </c>
      <c r="AD207" s="2">
        <f>IF(AC207=1,COUNTIF($AC$2:AC207,1),"")</f>
        <v>203</v>
      </c>
      <c r="AE207" s="2" t="str">
        <f>IFERROR(INDEX($Y$2:$Y$253,MATCH(ROWS($AD$2:AD207),$AD$2:$AD$253,0)),"")</f>
        <v>Serbia and Montenegro, Former</v>
      </c>
    </row>
    <row r="208" spans="25:31" x14ac:dyDescent="0.25">
      <c r="Y208" s="2" t="s">
        <v>38</v>
      </c>
      <c r="Z208" s="2" t="s">
        <v>266</v>
      </c>
      <c r="AA208" s="2" t="s">
        <v>267</v>
      </c>
      <c r="AB208" s="2" t="s">
        <v>193</v>
      </c>
      <c r="AC208" s="2">
        <f t="shared" si="4"/>
        <v>1</v>
      </c>
      <c r="AD208" s="2">
        <f>IF(AC208=1,COUNTIF($AC$2:AC208,1),"")</f>
        <v>204</v>
      </c>
      <c r="AE208" s="2" t="str">
        <f>IFERROR(INDEX($Y$2:$Y$253,MATCH(ROWS($AD$2:AD208),$AD$2:$AD$253,0)),"")</f>
        <v>Seychelles</v>
      </c>
    </row>
    <row r="209" spans="25:31" x14ac:dyDescent="0.25">
      <c r="Y209" s="2" t="s">
        <v>140</v>
      </c>
      <c r="Z209" s="2" t="s">
        <v>488</v>
      </c>
      <c r="AA209" s="2" t="s">
        <v>489</v>
      </c>
      <c r="AB209" s="2" t="s">
        <v>409</v>
      </c>
      <c r="AC209" s="2">
        <f t="shared" si="4"/>
        <v>1</v>
      </c>
      <c r="AD209" s="2">
        <f>IF(AC209=1,COUNTIF($AC$2:AC209,1),"")</f>
        <v>205</v>
      </c>
      <c r="AE209" s="2" t="str">
        <f>IFERROR(INDEX($Y$2:$Y$253,MATCH(ROWS($AD$2:AD209),$AD$2:$AD$253,0)),"")</f>
        <v>Sierra Leone</v>
      </c>
    </row>
    <row r="210" spans="25:31" x14ac:dyDescent="0.25">
      <c r="Y210" s="2" t="s">
        <v>624</v>
      </c>
      <c r="Z210" s="2" t="s">
        <v>625</v>
      </c>
      <c r="AA210" s="2" t="s">
        <v>626</v>
      </c>
      <c r="AB210" s="2" t="s">
        <v>517</v>
      </c>
      <c r="AC210" s="2">
        <f t="shared" si="4"/>
        <v>1</v>
      </c>
      <c r="AD210" s="2">
        <f>IF(AC210=1,COUNTIF($AC$2:AC210,1),"")</f>
        <v>206</v>
      </c>
      <c r="AE210" s="2" t="str">
        <f>IFERROR(INDEX($Y$2:$Y$253,MATCH(ROWS($AD$2:AD210),$AD$2:$AD$253,0)),"")</f>
        <v>Singapore</v>
      </c>
    </row>
    <row r="211" spans="25:31" x14ac:dyDescent="0.25">
      <c r="Y211" s="2" t="s">
        <v>39</v>
      </c>
      <c r="Z211" s="2" t="s">
        <v>268</v>
      </c>
      <c r="AA211" s="2" t="s">
        <v>269</v>
      </c>
      <c r="AB211" s="2" t="s">
        <v>193</v>
      </c>
      <c r="AC211" s="2">
        <f t="shared" si="4"/>
        <v>1</v>
      </c>
      <c r="AD211" s="2">
        <f>IF(AC211=1,COUNTIF($AC$2:AC211,1),"")</f>
        <v>207</v>
      </c>
      <c r="AE211" s="2" t="str">
        <f>IFERROR(INDEX($Y$2:$Y$253,MATCH(ROWS($AD$2:AD211),$AD$2:$AD$253,0)),"")</f>
        <v>Sint Maarten (Dutch part)</v>
      </c>
    </row>
    <row r="212" spans="25:31" x14ac:dyDescent="0.25">
      <c r="Y212" s="2" t="s">
        <v>40</v>
      </c>
      <c r="Z212" s="2" t="s">
        <v>270</v>
      </c>
      <c r="AA212" s="2" t="s">
        <v>271</v>
      </c>
      <c r="AB212" s="2" t="s">
        <v>193</v>
      </c>
      <c r="AC212" s="2">
        <f t="shared" si="4"/>
        <v>1</v>
      </c>
      <c r="AD212" s="2">
        <f>IF(AC212=1,COUNTIF($AC$2:AC212,1),"")</f>
        <v>208</v>
      </c>
      <c r="AE212" s="2" t="str">
        <f>IFERROR(INDEX($Y$2:$Y$253,MATCH(ROWS($AD$2:AD212),$AD$2:$AD$253,0)),"")</f>
        <v>Slovakia</v>
      </c>
    </row>
    <row r="213" spans="25:31" x14ac:dyDescent="0.25">
      <c r="Y213" s="2" t="s">
        <v>181</v>
      </c>
      <c r="Z213" s="2" t="s">
        <v>731</v>
      </c>
      <c r="AA213" s="2" t="s">
        <v>732</v>
      </c>
      <c r="AB213" s="2" t="s">
        <v>688</v>
      </c>
      <c r="AC213" s="2">
        <f t="shared" si="4"/>
        <v>1</v>
      </c>
      <c r="AD213" s="2">
        <f>IF(AC213=1,COUNTIF($AC$2:AC213,1),"")</f>
        <v>209</v>
      </c>
      <c r="AE213" s="2" t="str">
        <f>IFERROR(INDEX($Y$2:$Y$253,MATCH(ROWS($AD$2:AD213),$AD$2:$AD$253,0)),"")</f>
        <v>Slovenia</v>
      </c>
    </row>
    <row r="214" spans="25:31" x14ac:dyDescent="0.25">
      <c r="Y214" s="2" t="s">
        <v>627</v>
      </c>
      <c r="Z214" s="2" t="s">
        <v>628</v>
      </c>
      <c r="AA214" s="2" t="s">
        <v>629</v>
      </c>
      <c r="AB214" s="2" t="s">
        <v>291</v>
      </c>
      <c r="AC214" s="2">
        <f t="shared" si="4"/>
        <v>1</v>
      </c>
      <c r="AD214" s="2">
        <f>IF(AC214=1,COUNTIF($AC$2:AC214,1),"")</f>
        <v>210</v>
      </c>
      <c r="AE214" s="2" t="str">
        <f>IFERROR(INDEX($Y$2:$Y$253,MATCH(ROWS($AD$2:AD214),$AD$2:$AD$253,0)),"")</f>
        <v>Solomon Islands</v>
      </c>
    </row>
    <row r="215" spans="25:31" x14ac:dyDescent="0.25">
      <c r="Y215" s="2" t="s">
        <v>141</v>
      </c>
      <c r="Z215" s="2" t="s">
        <v>490</v>
      </c>
      <c r="AA215" s="2" t="s">
        <v>491</v>
      </c>
      <c r="AB215" s="2" t="s">
        <v>409</v>
      </c>
      <c r="AC215" s="2">
        <f t="shared" si="4"/>
        <v>1</v>
      </c>
      <c r="AD215" s="2">
        <f>IF(AC215=1,COUNTIF($AC$2:AC215,1),"")</f>
        <v>211</v>
      </c>
      <c r="AE215" s="2" t="str">
        <f>IFERROR(INDEX($Y$2:$Y$253,MATCH(ROWS($AD$2:AD215),$AD$2:$AD$253,0)),"")</f>
        <v>Somalia</v>
      </c>
    </row>
    <row r="216" spans="25:31" x14ac:dyDescent="0.25">
      <c r="Y216" s="2" t="s">
        <v>142</v>
      </c>
      <c r="Z216" s="2" t="s">
        <v>492</v>
      </c>
      <c r="AA216" s="2" t="s">
        <v>493</v>
      </c>
      <c r="AB216" s="2" t="s">
        <v>409</v>
      </c>
      <c r="AC216" s="2">
        <f t="shared" si="4"/>
        <v>1</v>
      </c>
      <c r="AD216" s="2">
        <f>IF(AC216=1,COUNTIF($AC$2:AC216,1),"")</f>
        <v>212</v>
      </c>
      <c r="AE216" s="2" t="str">
        <f>IFERROR(INDEX($Y$2:$Y$253,MATCH(ROWS($AD$2:AD216),$AD$2:$AD$253,0)),"")</f>
        <v>South Africa</v>
      </c>
    </row>
    <row r="217" spans="25:31" x14ac:dyDescent="0.25">
      <c r="Y217" s="2" t="s">
        <v>182</v>
      </c>
      <c r="Z217" s="2" t="s">
        <v>733</v>
      </c>
      <c r="AA217" s="2" t="s">
        <v>734</v>
      </c>
      <c r="AB217" s="2" t="s">
        <v>688</v>
      </c>
      <c r="AC217" s="2">
        <f t="shared" si="4"/>
        <v>1</v>
      </c>
      <c r="AD217" s="2">
        <f>IF(AC217=1,COUNTIF($AC$2:AC217,1),"")</f>
        <v>213</v>
      </c>
      <c r="AE217" s="2" t="str">
        <f>IFERROR(INDEX($Y$2:$Y$253,MATCH(ROWS($AD$2:AD217),$AD$2:$AD$253,0)),"")</f>
        <v>South Georgia and the South Sandwich Islands</v>
      </c>
    </row>
    <row r="218" spans="25:31" x14ac:dyDescent="0.25">
      <c r="Y218" s="2" t="s">
        <v>95</v>
      </c>
      <c r="Z218" s="2" t="s">
        <v>395</v>
      </c>
      <c r="AA218" s="2" t="s">
        <v>396</v>
      </c>
      <c r="AB218" s="2" t="s">
        <v>363</v>
      </c>
      <c r="AC218" s="2">
        <f t="shared" si="4"/>
        <v>1</v>
      </c>
      <c r="AD218" s="2">
        <f>IF(AC218=1,COUNTIF($AC$2:AC218,1),"")</f>
        <v>214</v>
      </c>
      <c r="AE218" s="2" t="str">
        <f>IFERROR(INDEX($Y$2:$Y$253,MATCH(ROWS($AD$2:AD218),$AD$2:$AD$253,0)),"")</f>
        <v>South Sudan</v>
      </c>
    </row>
    <row r="219" spans="25:31" x14ac:dyDescent="0.25">
      <c r="Y219" s="2" t="s">
        <v>41</v>
      </c>
      <c r="Z219" s="2" t="s">
        <v>272</v>
      </c>
      <c r="AA219" s="2" t="s">
        <v>273</v>
      </c>
      <c r="AB219" s="2" t="s">
        <v>193</v>
      </c>
      <c r="AC219" s="2">
        <f t="shared" si="4"/>
        <v>1</v>
      </c>
      <c r="AD219" s="2">
        <f>IF(AC219=1,COUNTIF($AC$2:AC219,1),"")</f>
        <v>215</v>
      </c>
      <c r="AE219" s="2" t="str">
        <f>IFERROR(INDEX($Y$2:$Y$253,MATCH(ROWS($AD$2:AD219),$AD$2:$AD$253,0)),"")</f>
        <v>Spain</v>
      </c>
    </row>
    <row r="220" spans="25:31" x14ac:dyDescent="0.25">
      <c r="Y220" s="2" t="s">
        <v>828</v>
      </c>
      <c r="Z220" s="2" t="s">
        <v>829</v>
      </c>
      <c r="AA220" s="2" t="s">
        <v>830</v>
      </c>
      <c r="AB220" s="2" t="s">
        <v>517</v>
      </c>
      <c r="AC220" s="2">
        <f t="shared" si="4"/>
        <v>1</v>
      </c>
      <c r="AD220" s="2">
        <f>IF(AC220=1,COUNTIF($AC$2:AC220,1),"")</f>
        <v>216</v>
      </c>
      <c r="AE220" s="2" t="str">
        <f>IFERROR(INDEX($Y$2:$Y$253,MATCH(ROWS($AD$2:AD220),$AD$2:$AD$253,0)),"")</f>
        <v>Sri Lanka</v>
      </c>
    </row>
    <row r="221" spans="25:31" x14ac:dyDescent="0.25">
      <c r="Y221" s="2" t="s">
        <v>274</v>
      </c>
      <c r="Z221" s="2" t="s">
        <v>275</v>
      </c>
      <c r="AA221" s="2" t="s">
        <v>276</v>
      </c>
      <c r="AB221" s="2" t="s">
        <v>193</v>
      </c>
      <c r="AC221" s="2">
        <f t="shared" si="4"/>
        <v>1</v>
      </c>
      <c r="AD221" s="2">
        <f>IF(AC221=1,COUNTIF($AC$2:AC221,1),"")</f>
        <v>217</v>
      </c>
      <c r="AE221" s="2" t="str">
        <f>IFERROR(INDEX($Y$2:$Y$253,MATCH(ROWS($AD$2:AD221),$AD$2:$AD$253,0)),"")</f>
        <v>Sudan</v>
      </c>
    </row>
    <row r="222" spans="25:31" x14ac:dyDescent="0.25">
      <c r="Y222" s="2" t="s">
        <v>143</v>
      </c>
      <c r="Z222" s="2" t="s">
        <v>494</v>
      </c>
      <c r="AA222" s="2" t="s">
        <v>495</v>
      </c>
      <c r="AB222" s="2" t="s">
        <v>409</v>
      </c>
      <c r="AC222" s="2">
        <f t="shared" si="4"/>
        <v>1</v>
      </c>
      <c r="AD222" s="2">
        <f>IF(AC222=1,COUNTIF($AC$2:AC222,1),"")</f>
        <v>218</v>
      </c>
      <c r="AE222" s="2" t="str">
        <f>IFERROR(INDEX($Y$2:$Y$253,MATCH(ROWS($AD$2:AD222),$AD$2:$AD$253,0)),"")</f>
        <v>Sudan (former)</v>
      </c>
    </row>
    <row r="223" spans="25:31" x14ac:dyDescent="0.25">
      <c r="Y223" s="2" t="s">
        <v>159</v>
      </c>
      <c r="Z223" s="2" t="s">
        <v>680</v>
      </c>
      <c r="AA223" s="2" t="s">
        <v>681</v>
      </c>
      <c r="AB223" s="2" t="s">
        <v>665</v>
      </c>
      <c r="AC223" s="2">
        <f t="shared" si="4"/>
        <v>1</v>
      </c>
      <c r="AD223" s="2">
        <f>IF(AC223=1,COUNTIF($AC$2:AC223,1),"")</f>
        <v>219</v>
      </c>
      <c r="AE223" s="2" t="str">
        <f>IFERROR(INDEX($Y$2:$Y$253,MATCH(ROWS($AD$2:AD223),$AD$2:$AD$253,0)),"")</f>
        <v>Suriname</v>
      </c>
    </row>
    <row r="224" spans="25:31" x14ac:dyDescent="0.25">
      <c r="Y224" s="2" t="s">
        <v>96</v>
      </c>
      <c r="Z224" s="2" t="s">
        <v>397</v>
      </c>
      <c r="AA224" s="2" t="s">
        <v>398</v>
      </c>
      <c r="AB224" s="2" t="s">
        <v>363</v>
      </c>
      <c r="AC224" s="2">
        <f t="shared" si="4"/>
        <v>1</v>
      </c>
      <c r="AD224" s="2">
        <f>IF(AC224=1,COUNTIF($AC$2:AC224,1),"")</f>
        <v>220</v>
      </c>
      <c r="AE224" s="2" t="str">
        <f>IFERROR(INDEX($Y$2:$Y$253,MATCH(ROWS($AD$2:AD224),$AD$2:$AD$253,0)),"")</f>
        <v>Svalbard and Jan Mayen</v>
      </c>
    </row>
    <row r="225" spans="25:31" x14ac:dyDescent="0.25">
      <c r="Y225" s="2" t="s">
        <v>630</v>
      </c>
      <c r="Z225" s="2" t="s">
        <v>631</v>
      </c>
      <c r="AA225" s="2" t="s">
        <v>632</v>
      </c>
      <c r="AB225" s="2" t="s">
        <v>517</v>
      </c>
      <c r="AC225" s="2">
        <f t="shared" si="4"/>
        <v>1</v>
      </c>
      <c r="AD225" s="2">
        <f>IF(AC225=1,COUNTIF($AC$2:AC225,1),"")</f>
        <v>221</v>
      </c>
      <c r="AE225" s="2" t="str">
        <f>IFERROR(INDEX($Y$2:$Y$253,MATCH(ROWS($AD$2:AD225),$AD$2:$AD$253,0)),"")</f>
        <v>Sweden</v>
      </c>
    </row>
    <row r="226" spans="25:31" x14ac:dyDescent="0.25">
      <c r="Y226" s="2" t="s">
        <v>76</v>
      </c>
      <c r="Z226" s="2" t="s">
        <v>351</v>
      </c>
      <c r="AA226" s="2" t="s">
        <v>352</v>
      </c>
      <c r="AB226" s="2" t="s">
        <v>291</v>
      </c>
      <c r="AC226" s="2">
        <f t="shared" si="4"/>
        <v>1</v>
      </c>
      <c r="AD226" s="2">
        <f>IF(AC226=1,COUNTIF($AC$2:AC226,1),"")</f>
        <v>222</v>
      </c>
      <c r="AE226" s="2" t="str">
        <f>IFERROR(INDEX($Y$2:$Y$253,MATCH(ROWS($AD$2:AD226),$AD$2:$AD$253,0)),"")</f>
        <v>Switzerland</v>
      </c>
    </row>
    <row r="227" spans="25:31" x14ac:dyDescent="0.25">
      <c r="Y227" s="2" t="s">
        <v>831</v>
      </c>
      <c r="Z227" s="2" t="s">
        <v>832</v>
      </c>
      <c r="AA227" s="2" t="s">
        <v>833</v>
      </c>
      <c r="AB227" s="2" t="s">
        <v>517</v>
      </c>
      <c r="AC227" s="2">
        <f t="shared" si="4"/>
        <v>1</v>
      </c>
      <c r="AD227" s="2">
        <f>IF(AC227=1,COUNTIF($AC$2:AC227,1),"")</f>
        <v>223</v>
      </c>
      <c r="AE227" s="2" t="str">
        <f>IFERROR(INDEX($Y$2:$Y$253,MATCH(ROWS($AD$2:AD227),$AD$2:$AD$253,0)),"")</f>
        <v>Syrian Arab Republic</v>
      </c>
    </row>
    <row r="228" spans="25:31" x14ac:dyDescent="0.25">
      <c r="Y228" s="2" t="s">
        <v>144</v>
      </c>
      <c r="Z228" s="2" t="s">
        <v>496</v>
      </c>
      <c r="AA228" s="2" t="s">
        <v>497</v>
      </c>
      <c r="AB228" s="2" t="s">
        <v>409</v>
      </c>
      <c r="AC228" s="2">
        <f t="shared" si="4"/>
        <v>1</v>
      </c>
      <c r="AD228" s="2">
        <f>IF(AC228=1,COUNTIF($AC$2:AC228,1),"")</f>
        <v>224</v>
      </c>
      <c r="AE228" s="2" t="str">
        <f>IFERROR(INDEX($Y$2:$Y$253,MATCH(ROWS($AD$2:AD228),$AD$2:$AD$253,0)),"")</f>
        <v>Tajikistan</v>
      </c>
    </row>
    <row r="229" spans="25:31" x14ac:dyDescent="0.25">
      <c r="Y229" s="2" t="s">
        <v>145</v>
      </c>
      <c r="Z229" s="2" t="s">
        <v>498</v>
      </c>
      <c r="AA229" s="2" t="s">
        <v>499</v>
      </c>
      <c r="AB229" s="2" t="s">
        <v>409</v>
      </c>
      <c r="AC229" s="2">
        <f t="shared" si="4"/>
        <v>1</v>
      </c>
      <c r="AD229" s="2">
        <f>IF(AC229=1,COUNTIF($AC$2:AC229,1),"")</f>
        <v>225</v>
      </c>
      <c r="AE229" s="2" t="str">
        <f>IFERROR(INDEX($Y$2:$Y$253,MATCH(ROWS($AD$2:AD229),$AD$2:$AD$253,0)),"")</f>
        <v>Thailand</v>
      </c>
    </row>
    <row r="230" spans="25:31" x14ac:dyDescent="0.25">
      <c r="Y230" s="2" t="s">
        <v>97</v>
      </c>
      <c r="Z230" s="2" t="s">
        <v>399</v>
      </c>
      <c r="AA230" s="2" t="s">
        <v>400</v>
      </c>
      <c r="AB230" s="2" t="s">
        <v>363</v>
      </c>
      <c r="AC230" s="2">
        <f t="shared" si="4"/>
        <v>1</v>
      </c>
      <c r="AD230" s="2">
        <f>IF(AC230=1,COUNTIF($AC$2:AC230,1),"")</f>
        <v>226</v>
      </c>
      <c r="AE230" s="2" t="str">
        <f>IFERROR(INDEX($Y$2:$Y$253,MATCH(ROWS($AD$2:AD230),$AD$2:$AD$253,0)),"")</f>
        <v>The former state union Serbia and Montenegro</v>
      </c>
    </row>
    <row r="231" spans="25:31" x14ac:dyDescent="0.25">
      <c r="Y231" s="2" t="s">
        <v>146</v>
      </c>
      <c r="Z231" s="2" t="s">
        <v>500</v>
      </c>
      <c r="AA231" s="2" t="s">
        <v>501</v>
      </c>
      <c r="AB231" s="2" t="s">
        <v>409</v>
      </c>
      <c r="AC231" s="2">
        <f t="shared" si="4"/>
        <v>1</v>
      </c>
      <c r="AD231" s="2">
        <f>IF(AC231=1,COUNTIF($AC$2:AC231,1),"")</f>
        <v>227</v>
      </c>
      <c r="AE231" s="2" t="str">
        <f>IFERROR(INDEX($Y$2:$Y$253,MATCH(ROWS($AD$2:AD231),$AD$2:$AD$253,0)),"")</f>
        <v>Timor-Leste</v>
      </c>
    </row>
    <row r="232" spans="25:31" x14ac:dyDescent="0.25">
      <c r="Y232" s="2" t="s">
        <v>160</v>
      </c>
      <c r="Z232" s="2" t="s">
        <v>682</v>
      </c>
      <c r="AA232" s="2" t="s">
        <v>683</v>
      </c>
      <c r="AB232" s="2" t="s">
        <v>665</v>
      </c>
      <c r="AC232" s="2">
        <f t="shared" si="4"/>
        <v>1</v>
      </c>
      <c r="AD232" s="2">
        <f>IF(AC232=1,COUNTIF($AC$2:AC232,1),"")</f>
        <v>228</v>
      </c>
      <c r="AE232" s="2" t="str">
        <f>IFERROR(INDEX($Y$2:$Y$253,MATCH(ROWS($AD$2:AD232),$AD$2:$AD$253,0)),"")</f>
        <v>Togo</v>
      </c>
    </row>
    <row r="233" spans="25:31" x14ac:dyDescent="0.25">
      <c r="Y233" s="2" t="s">
        <v>633</v>
      </c>
      <c r="Z233" s="2" t="s">
        <v>634</v>
      </c>
      <c r="AA233" s="2" t="s">
        <v>635</v>
      </c>
      <c r="AB233" s="2" t="s">
        <v>517</v>
      </c>
      <c r="AC233" s="2">
        <f t="shared" si="4"/>
        <v>1</v>
      </c>
      <c r="AD233" s="2">
        <f>IF(AC233=1,COUNTIF($AC$2:AC233,1),"")</f>
        <v>229</v>
      </c>
      <c r="AE233" s="2" t="str">
        <f>IFERROR(INDEX($Y$2:$Y$253,MATCH(ROWS($AD$2:AD233),$AD$2:$AD$253,0)),"")</f>
        <v>Tokelau</v>
      </c>
    </row>
    <row r="234" spans="25:31" x14ac:dyDescent="0.25">
      <c r="Y234" s="2" t="s">
        <v>161</v>
      </c>
      <c r="Z234" s="2" t="s">
        <v>684</v>
      </c>
      <c r="AA234" s="2" t="s">
        <v>685</v>
      </c>
      <c r="AB234" s="2" t="s">
        <v>665</v>
      </c>
      <c r="AC234" s="2">
        <f t="shared" si="4"/>
        <v>1</v>
      </c>
      <c r="AD234" s="2">
        <f>IF(AC234=1,COUNTIF($AC$2:AC234,1),"")</f>
        <v>230</v>
      </c>
      <c r="AE234" s="2" t="str">
        <f>IFERROR(INDEX($Y$2:$Y$253,MATCH(ROWS($AD$2:AD234),$AD$2:$AD$253,0)),"")</f>
        <v>Tonga</v>
      </c>
    </row>
    <row r="235" spans="25:31" x14ac:dyDescent="0.25">
      <c r="Y235" s="2" t="s">
        <v>42</v>
      </c>
      <c r="Z235" s="2" t="s">
        <v>279</v>
      </c>
      <c r="AA235" s="2" t="s">
        <v>280</v>
      </c>
      <c r="AB235" s="2" t="s">
        <v>193</v>
      </c>
      <c r="AC235" s="2">
        <f t="shared" si="4"/>
        <v>1</v>
      </c>
      <c r="AD235" s="2">
        <f>IF(AC235=1,COUNTIF($AC$2:AC235,1),"")</f>
        <v>231</v>
      </c>
      <c r="AE235" s="2" t="str">
        <f>IFERROR(INDEX($Y$2:$Y$253,MATCH(ROWS($AD$2:AD235),$AD$2:$AD$253,0)),"")</f>
        <v>Trinidad and Tobago</v>
      </c>
    </row>
    <row r="236" spans="25:31" x14ac:dyDescent="0.25">
      <c r="Y236" s="2" t="s">
        <v>636</v>
      </c>
      <c r="Z236" s="2" t="s">
        <v>637</v>
      </c>
      <c r="AA236" s="2" t="s">
        <v>638</v>
      </c>
      <c r="AB236" s="2" t="s">
        <v>688</v>
      </c>
      <c r="AC236" s="2">
        <f t="shared" si="4"/>
        <v>1</v>
      </c>
      <c r="AD236" s="2">
        <f>IF(AC236=1,COUNTIF($AC$2:AC236,1),"")</f>
        <v>232</v>
      </c>
      <c r="AE236" s="2" t="str">
        <f>IFERROR(INDEX($Y$2:$Y$253,MATCH(ROWS($AD$2:AD236),$AD$2:$AD$253,0)),"")</f>
        <v>Tunisia</v>
      </c>
    </row>
    <row r="237" spans="25:31" x14ac:dyDescent="0.25">
      <c r="Y237" s="2" t="s">
        <v>183</v>
      </c>
      <c r="Z237" s="2" t="s">
        <v>735</v>
      </c>
      <c r="AA237" s="2" t="s">
        <v>736</v>
      </c>
      <c r="AB237" s="2" t="s">
        <v>688</v>
      </c>
      <c r="AC237" s="2">
        <f t="shared" si="4"/>
        <v>1</v>
      </c>
      <c r="AD237" s="2">
        <f>IF(AC237=1,COUNTIF($AC$2:AC237,1),"")</f>
        <v>233</v>
      </c>
      <c r="AE237" s="2" t="str">
        <f>IFERROR(INDEX($Y$2:$Y$253,MATCH(ROWS($AD$2:AD237),$AD$2:$AD$253,0)),"")</f>
        <v>Turkey</v>
      </c>
    </row>
    <row r="238" spans="25:31" x14ac:dyDescent="0.25">
      <c r="Y238" s="2" t="s">
        <v>77</v>
      </c>
      <c r="Z238" s="2" t="s">
        <v>353</v>
      </c>
      <c r="AA238" s="2" t="s">
        <v>354</v>
      </c>
      <c r="AB238" s="2" t="s">
        <v>291</v>
      </c>
      <c r="AC238" s="2">
        <f t="shared" si="4"/>
        <v>1</v>
      </c>
      <c r="AD238" s="2">
        <f>IF(AC238=1,COUNTIF($AC$2:AC238,1),"")</f>
        <v>234</v>
      </c>
      <c r="AE238" s="2" t="str">
        <f>IFERROR(INDEX($Y$2:$Y$253,MATCH(ROWS($AD$2:AD238),$AD$2:$AD$253,0)),"")</f>
        <v>Turkmenistan</v>
      </c>
    </row>
    <row r="239" spans="25:31" x14ac:dyDescent="0.25">
      <c r="Y239" s="2" t="s">
        <v>98</v>
      </c>
      <c r="Z239" s="2" t="s">
        <v>401</v>
      </c>
      <c r="AA239" s="2" t="s">
        <v>402</v>
      </c>
      <c r="AB239" s="2" t="s">
        <v>363</v>
      </c>
      <c r="AC239" s="2">
        <f t="shared" si="4"/>
        <v>1</v>
      </c>
      <c r="AD239" s="2">
        <f>IF(AC239=1,COUNTIF($AC$2:AC239,1),"")</f>
        <v>235</v>
      </c>
      <c r="AE239" s="2" t="str">
        <f>IFERROR(INDEX($Y$2:$Y$253,MATCH(ROWS($AD$2:AD239),$AD$2:$AD$253,0)),"")</f>
        <v>Turks and Caicos Islands</v>
      </c>
    </row>
    <row r="240" spans="25:31" x14ac:dyDescent="0.25">
      <c r="Y240" s="2" t="s">
        <v>147</v>
      </c>
      <c r="Z240" s="2" t="s">
        <v>504</v>
      </c>
      <c r="AA240" s="2" t="s">
        <v>505</v>
      </c>
      <c r="AB240" s="2" t="s">
        <v>409</v>
      </c>
      <c r="AC240" s="2">
        <f t="shared" si="4"/>
        <v>1</v>
      </c>
      <c r="AD240" s="2">
        <f>IF(AC240=1,COUNTIF($AC$2:AC240,1),"")</f>
        <v>236</v>
      </c>
      <c r="AE240" s="2" t="str">
        <f>IFERROR(INDEX($Y$2:$Y$253,MATCH(ROWS($AD$2:AD240),$AD$2:$AD$253,0)),"")</f>
        <v>Tuvalu</v>
      </c>
    </row>
    <row r="241" spans="25:31" x14ac:dyDescent="0.25">
      <c r="Y241" s="2" t="s">
        <v>148</v>
      </c>
      <c r="Z241" s="2" t="s">
        <v>506</v>
      </c>
      <c r="AA241" s="2" t="s">
        <v>507</v>
      </c>
      <c r="AB241" s="2" t="s">
        <v>409</v>
      </c>
      <c r="AC241" s="2">
        <f t="shared" si="4"/>
        <v>1</v>
      </c>
      <c r="AD241" s="2">
        <f>IF(AC241=1,COUNTIF($AC$2:AC241,1),"")</f>
        <v>237</v>
      </c>
      <c r="AE241" s="2" t="str">
        <f>IFERROR(INDEX($Y$2:$Y$253,MATCH(ROWS($AD$2:AD241),$AD$2:$AD$253,0)),"")</f>
        <v>US Virgin Islands</v>
      </c>
    </row>
    <row r="242" spans="25:31" x14ac:dyDescent="0.25">
      <c r="Y242" s="2" t="s">
        <v>639</v>
      </c>
      <c r="Z242" s="2" t="s">
        <v>640</v>
      </c>
      <c r="AA242" s="2" t="s">
        <v>641</v>
      </c>
      <c r="AB242" s="2" t="s">
        <v>291</v>
      </c>
      <c r="AC242" s="2">
        <f t="shared" si="4"/>
        <v>1</v>
      </c>
      <c r="AD242" s="2">
        <f>IF(AC242=1,COUNTIF($AC$2:AC242,1),"")</f>
        <v>238</v>
      </c>
      <c r="AE242" s="2" t="str">
        <f>IFERROR(INDEX($Y$2:$Y$253,MATCH(ROWS($AD$2:AD242),$AD$2:$AD$253,0)),"")</f>
        <v>USSR, Former</v>
      </c>
    </row>
    <row r="243" spans="25:31" x14ac:dyDescent="0.25">
      <c r="Y243" s="2" t="s">
        <v>184</v>
      </c>
      <c r="Z243" s="2" t="s">
        <v>737</v>
      </c>
      <c r="AA243" s="2" t="s">
        <v>738</v>
      </c>
      <c r="AB243" s="2" t="s">
        <v>688</v>
      </c>
      <c r="AC243" s="2">
        <f t="shared" si="4"/>
        <v>1</v>
      </c>
      <c r="AD243" s="2">
        <f>IF(AC243=1,COUNTIF($AC$2:AC243,1),"")</f>
        <v>239</v>
      </c>
      <c r="AE243" s="2" t="str">
        <f>IFERROR(INDEX($Y$2:$Y$253,MATCH(ROWS($AD$2:AD243),$AD$2:$AD$253,0)),"")</f>
        <v>Uganda</v>
      </c>
    </row>
    <row r="244" spans="25:31" x14ac:dyDescent="0.25">
      <c r="Y244" s="2" t="s">
        <v>834</v>
      </c>
      <c r="Z244" s="2" t="s">
        <v>654</v>
      </c>
      <c r="AA244" s="2" t="s">
        <v>655</v>
      </c>
      <c r="AB244" s="2" t="s">
        <v>291</v>
      </c>
      <c r="AC244" s="2">
        <f t="shared" si="4"/>
        <v>1</v>
      </c>
      <c r="AD244" s="2">
        <f>IF(AC244=1,COUNTIF($AC$2:AC244,1),"")</f>
        <v>240</v>
      </c>
      <c r="AE244" s="2" t="str">
        <f>IFERROR(INDEX($Y$2:$Y$253,MATCH(ROWS($AD$2:AD244),$AD$2:$AD$253,0)),"")</f>
        <v>Ukraine</v>
      </c>
    </row>
    <row r="245" spans="25:31" x14ac:dyDescent="0.25">
      <c r="Y245" s="2" t="s">
        <v>651</v>
      </c>
      <c r="Z245" s="2" t="s">
        <v>652</v>
      </c>
      <c r="AA245" s="2" t="s">
        <v>653</v>
      </c>
      <c r="AB245" s="2" t="s">
        <v>517</v>
      </c>
      <c r="AC245" s="2">
        <f t="shared" si="4"/>
        <v>1</v>
      </c>
      <c r="AD245" s="2">
        <f>IF(AC245=1,COUNTIF($AC$2:AC245,1),"")</f>
        <v>241</v>
      </c>
      <c r="AE245" s="2" t="str">
        <f>IFERROR(INDEX($Y$2:$Y$253,MATCH(ROWS($AD$2:AD245),$AD$2:$AD$253,0)),"")</f>
        <v>United Arab Emirates</v>
      </c>
    </row>
    <row r="246" spans="25:31" x14ac:dyDescent="0.25">
      <c r="Y246" s="2" t="s">
        <v>43</v>
      </c>
      <c r="Z246" s="2" t="s">
        <v>281</v>
      </c>
      <c r="AA246" s="2" t="s">
        <v>282</v>
      </c>
      <c r="AB246" s="2" t="s">
        <v>193</v>
      </c>
      <c r="AC246" s="2">
        <f t="shared" si="4"/>
        <v>1</v>
      </c>
      <c r="AD246" s="2">
        <f>IF(AC246=1,COUNTIF($AC$2:AC246,1),"")</f>
        <v>242</v>
      </c>
      <c r="AE246" s="2" t="str">
        <f>IFERROR(INDEX($Y$2:$Y$253,MATCH(ROWS($AD$2:AD246),$AD$2:$AD$253,0)),"")</f>
        <v>United Kingdom of Great Britain and Northern Irela</v>
      </c>
    </row>
    <row r="247" spans="25:31" x14ac:dyDescent="0.25">
      <c r="Y247" s="2" t="s">
        <v>149</v>
      </c>
      <c r="Z247" s="2" t="s">
        <v>508</v>
      </c>
      <c r="AA247" s="2" t="s">
        <v>509</v>
      </c>
      <c r="AB247" s="2" t="s">
        <v>409</v>
      </c>
      <c r="AC247" s="2">
        <f t="shared" si="4"/>
        <v>1</v>
      </c>
      <c r="AD247" s="2">
        <f>IF(AC247=1,COUNTIF($AC$2:AC247,1),"")</f>
        <v>243</v>
      </c>
      <c r="AE247" s="2" t="str">
        <f>IFERROR(INDEX($Y$2:$Y$253,MATCH(ROWS($AD$2:AD247),$AD$2:$AD$253,0)),"")</f>
        <v>United Kingdom, England and Wales</v>
      </c>
    </row>
    <row r="248" spans="25:31" x14ac:dyDescent="0.25">
      <c r="Y248" s="2" t="s">
        <v>99</v>
      </c>
      <c r="Z248" s="2" t="s">
        <v>403</v>
      </c>
      <c r="AA248" s="2" t="s">
        <v>404</v>
      </c>
      <c r="AB248" s="2" t="s">
        <v>363</v>
      </c>
      <c r="AC248" s="2">
        <f t="shared" si="4"/>
        <v>1</v>
      </c>
      <c r="AD248" s="2">
        <f>IF(AC248=1,COUNTIF($AC$2:AC248,1),"")</f>
        <v>244</v>
      </c>
      <c r="AE248" s="2" t="str">
        <f>IFERROR(INDEX($Y$2:$Y$253,MATCH(ROWS($AD$2:AD248),$AD$2:$AD$253,0)),"")</f>
        <v>United Kingdom, Northern Ireland</v>
      </c>
    </row>
    <row r="249" spans="25:31" x14ac:dyDescent="0.25">
      <c r="Y249" s="2" t="s">
        <v>835</v>
      </c>
      <c r="Z249" s="2" t="s">
        <v>510</v>
      </c>
      <c r="AA249" s="2" t="s">
        <v>511</v>
      </c>
      <c r="AB249" s="2" t="s">
        <v>409</v>
      </c>
      <c r="AC249" s="2">
        <f t="shared" si="4"/>
        <v>1</v>
      </c>
      <c r="AD249" s="2">
        <f>IF(AC249=1,COUNTIF($AC$2:AC249,1),"")</f>
        <v>245</v>
      </c>
      <c r="AE249" s="2" t="str">
        <f>IFERROR(INDEX($Y$2:$Y$253,MATCH(ROWS($AD$2:AD249),$AD$2:$AD$253,0)),"")</f>
        <v>United Kingdom, Scotland</v>
      </c>
    </row>
    <row r="250" spans="25:31" x14ac:dyDescent="0.25">
      <c r="Y250" s="2" t="s">
        <v>642</v>
      </c>
      <c r="Z250" s="2" t="s">
        <v>643</v>
      </c>
      <c r="AA250" s="2" t="s">
        <v>644</v>
      </c>
      <c r="AB250" s="2" t="s">
        <v>517</v>
      </c>
      <c r="AC250" s="2">
        <f t="shared" si="4"/>
        <v>1</v>
      </c>
      <c r="AD250" s="2">
        <f>IF(AC250=1,COUNTIF($AC$2:AC250,1),"")</f>
        <v>246</v>
      </c>
      <c r="AE250" s="2" t="str">
        <f>IFERROR(INDEX($Y$2:$Y$253,MATCH(ROWS($AD$2:AD250),$AD$2:$AD$253,0)),"")</f>
        <v>United Republic of Tanzania</v>
      </c>
    </row>
    <row r="251" spans="25:31" x14ac:dyDescent="0.25">
      <c r="Y251" s="2" t="s">
        <v>645</v>
      </c>
      <c r="Z251" s="2" t="s">
        <v>646</v>
      </c>
      <c r="AA251" s="2" t="s">
        <v>647</v>
      </c>
      <c r="AB251" s="2" t="s">
        <v>517</v>
      </c>
      <c r="AC251" s="2">
        <f t="shared" si="4"/>
        <v>1</v>
      </c>
      <c r="AD251" s="2">
        <f>IF(AC251=1,COUNTIF($AC$2:AC251,1),"")</f>
        <v>247</v>
      </c>
      <c r="AE251" s="2" t="str">
        <f>IFERROR(INDEX($Y$2:$Y$253,MATCH(ROWS($AD$2:AD251),$AD$2:$AD$253,0)),"")</f>
        <v/>
      </c>
    </row>
    <row r="252" spans="25:31" x14ac:dyDescent="0.25">
      <c r="Y252" s="2" t="s">
        <v>648</v>
      </c>
      <c r="Z252" s="2" t="s">
        <v>649</v>
      </c>
      <c r="AA252" s="2" t="s">
        <v>650</v>
      </c>
      <c r="AB252" s="2" t="s">
        <v>517</v>
      </c>
      <c r="AC252" s="2">
        <f t="shared" si="4"/>
        <v>1</v>
      </c>
      <c r="AD252" s="2">
        <f>IF(AC252=1,COUNTIF($AC$2:AC252,1),"")</f>
        <v>248</v>
      </c>
      <c r="AE252" s="2" t="str">
        <f>IFERROR(INDEX($Y$2:$Y$253,MATCH(ROWS($AD$2:AD252),$AD$2:$AD$253,0)),"")</f>
        <v/>
      </c>
    </row>
    <row r="253" spans="25:31" x14ac:dyDescent="0.25">
      <c r="Y253" s="2" t="s">
        <v>44</v>
      </c>
      <c r="Z253" s="2" t="s">
        <v>283</v>
      </c>
      <c r="AA253" s="2" t="s">
        <v>284</v>
      </c>
      <c r="AB253" s="2" t="s">
        <v>193</v>
      </c>
      <c r="AC253" s="2">
        <f t="shared" si="4"/>
        <v>1</v>
      </c>
      <c r="AD253" s="2">
        <f>IF(AC253=1,COUNTIF($AC$2:AC253,1),"")</f>
        <v>249</v>
      </c>
      <c r="AE253" s="2" t="str">
        <f>IFERROR(INDEX($Y$2:$Y$253,MATCH(ROWS($AD$2:AD253),$AD$2:$AD$253,0)),"")</f>
        <v/>
      </c>
    </row>
    <row r="254" spans="25:31" x14ac:dyDescent="0.25">
      <c r="Y254" s="2" t="s">
        <v>836</v>
      </c>
      <c r="Z254" s="2" t="s">
        <v>837</v>
      </c>
      <c r="AA254" s="2" t="s">
        <v>838</v>
      </c>
      <c r="AB254" s="2" t="s">
        <v>517</v>
      </c>
      <c r="AC254" s="2">
        <f t="shared" si="4"/>
        <v>1</v>
      </c>
      <c r="AD254" s="2">
        <f>IF(AC254=1,COUNTIF($AC$2:AC254,1),"")</f>
        <v>250</v>
      </c>
      <c r="AE254" s="2" t="str">
        <f>IFERROR(INDEX($Y$2:$Y$253,MATCH(ROWS($AD$2:AD254),$AD$2:$AD$253,0)),"")</f>
        <v/>
      </c>
    </row>
    <row r="255" spans="25:31" x14ac:dyDescent="0.25">
      <c r="Y255" s="2" t="s">
        <v>78</v>
      </c>
      <c r="Z255" s="2" t="s">
        <v>355</v>
      </c>
      <c r="AA255" s="2" t="s">
        <v>356</v>
      </c>
      <c r="AB255" s="2" t="s">
        <v>291</v>
      </c>
      <c r="AC255" s="2">
        <f t="shared" si="4"/>
        <v>1</v>
      </c>
      <c r="AD255" s="2">
        <f>IF(AC255=1,COUNTIF($AC$2:AC255,1),"")</f>
        <v>251</v>
      </c>
      <c r="AE255" s="2" t="str">
        <f>IFERROR(INDEX($Y$2:$Y$253,MATCH(ROWS($AD$2:AD255),$AD$2:$AD$253,0)),"")</f>
        <v/>
      </c>
    </row>
    <row r="256" spans="25:31" x14ac:dyDescent="0.25">
      <c r="Y256" s="2" t="s">
        <v>79</v>
      </c>
      <c r="Z256" s="2" t="s">
        <v>357</v>
      </c>
      <c r="AA256" s="2" t="s">
        <v>358</v>
      </c>
      <c r="AB256" s="2" t="s">
        <v>291</v>
      </c>
      <c r="AC256" s="2">
        <f t="shared" si="4"/>
        <v>1</v>
      </c>
      <c r="AD256" s="2">
        <f>IF(AC256=1,COUNTIF($AC$2:AC256,1),"")</f>
        <v>252</v>
      </c>
      <c r="AE256" s="2" t="str">
        <f>IFERROR(INDEX($Y$2:$Y$253,MATCH(ROWS($AD$2:AD256),$AD$2:$AD$253,0)),"")</f>
        <v/>
      </c>
    </row>
    <row r="257" spans="25:31" x14ac:dyDescent="0.25">
      <c r="Y257" s="2" t="s">
        <v>150</v>
      </c>
      <c r="Z257" s="2" t="s">
        <v>512</v>
      </c>
      <c r="AA257" s="2" t="s">
        <v>513</v>
      </c>
      <c r="AB257" s="2" t="s">
        <v>409</v>
      </c>
      <c r="AC257" s="2">
        <f t="shared" si="4"/>
        <v>1</v>
      </c>
      <c r="AD257" s="2">
        <f>IF(AC257=1,COUNTIF($AC$2:AC257,1),"")</f>
        <v>253</v>
      </c>
      <c r="AE257" s="2" t="str">
        <f>IFERROR(INDEX($Y$2:$Y$253,MATCH(ROWS($AD$2:AD257),$AD$2:$AD$253,0)),"")</f>
        <v/>
      </c>
    </row>
    <row r="258" spans="25:31" x14ac:dyDescent="0.25">
      <c r="Y258" s="2" t="s">
        <v>185</v>
      </c>
      <c r="Z258" s="2" t="s">
        <v>739</v>
      </c>
      <c r="AA258" s="2" t="s">
        <v>740</v>
      </c>
      <c r="AB258" s="2" t="s">
        <v>688</v>
      </c>
      <c r="AC258" s="2">
        <f t="shared" si="4"/>
        <v>1</v>
      </c>
      <c r="AD258" s="2">
        <f>IF(AC258=1,COUNTIF($AC$2:AC258,1),"")</f>
        <v>254</v>
      </c>
      <c r="AE258" s="2" t="str">
        <f>IFERROR(INDEX($Y$2:$Y$253,MATCH(ROWS($AD$2:AD258),$AD$2:$AD$253,0)),"")</f>
        <v/>
      </c>
    </row>
    <row r="259" spans="25:31" x14ac:dyDescent="0.25">
      <c r="Y259" s="2" t="s">
        <v>80</v>
      </c>
      <c r="Z259" s="2" t="s">
        <v>359</v>
      </c>
      <c r="AA259" s="2" t="s">
        <v>360</v>
      </c>
      <c r="AB259" s="2" t="s">
        <v>291</v>
      </c>
      <c r="AC259" s="2">
        <f t="shared" si="4"/>
        <v>1</v>
      </c>
      <c r="AD259" s="2">
        <f>IF(AC259=1,COUNTIF($AC$2:AC259,1),"")</f>
        <v>255</v>
      </c>
      <c r="AE259" s="2" t="str">
        <f>IFERROR(INDEX($Y$2:$Y$253,MATCH(ROWS($AD$2:AD259),$AD$2:$AD$253,0)),"")</f>
        <v/>
      </c>
    </row>
    <row r="260" spans="25:31" x14ac:dyDescent="0.25">
      <c r="Y260" s="2" t="s">
        <v>186</v>
      </c>
      <c r="Z260" s="2" t="s">
        <v>741</v>
      </c>
      <c r="AA260" s="2" t="s">
        <v>742</v>
      </c>
      <c r="AB260" s="2" t="s">
        <v>688</v>
      </c>
      <c r="AC260" s="2">
        <f t="shared" si="4"/>
        <v>1</v>
      </c>
      <c r="AD260" s="2">
        <f>IF(AC260=1,COUNTIF($AC$2:AC260,1),"")</f>
        <v>256</v>
      </c>
      <c r="AE260" s="2" t="str">
        <f>IFERROR(INDEX($Y$2:$Y$253,MATCH(ROWS($AD$2:AD260),$AD$2:$AD$253,0)),"")</f>
        <v/>
      </c>
    </row>
    <row r="261" spans="25:31" x14ac:dyDescent="0.25">
      <c r="Y261" s="2" t="s">
        <v>839</v>
      </c>
      <c r="Z261" s="2" t="s">
        <v>656</v>
      </c>
      <c r="AA261" s="2" t="s">
        <v>657</v>
      </c>
      <c r="AB261" s="2" t="s">
        <v>688</v>
      </c>
      <c r="AC261" s="2">
        <f t="shared" ref="AC261:AC324" si="5">--ISNUMBER(IFERROR(SEARCH($V$1,Y261,1),""))</f>
        <v>1</v>
      </c>
      <c r="AD261" s="2">
        <f>IF(AC261=1,COUNTIF($AC$2:AC261,1),"")</f>
        <v>257</v>
      </c>
      <c r="AE261" s="2" t="str">
        <f>IFERROR(INDEX($Y$2:$Y$253,MATCH(ROWS($AD$2:AD261),$AD$2:$AD$253,0)),"")</f>
        <v/>
      </c>
    </row>
    <row r="262" spans="25:31" x14ac:dyDescent="0.25">
      <c r="Y262" s="2" t="s">
        <v>658</v>
      </c>
      <c r="Z262" s="2" t="s">
        <v>659</v>
      </c>
      <c r="AA262" s="2" t="s">
        <v>660</v>
      </c>
      <c r="AB262" s="2" t="s">
        <v>517</v>
      </c>
      <c r="AC262" s="2">
        <f t="shared" si="5"/>
        <v>1</v>
      </c>
      <c r="AD262" s="2">
        <f>IF(AC262=1,COUNTIF($AC$2:AC262,1),"")</f>
        <v>258</v>
      </c>
      <c r="AE262" s="2" t="str">
        <f>IFERROR(INDEX($Y$2:$Y$253,MATCH(ROWS($AD$2:AD262),$AD$2:$AD$253,0)),"")</f>
        <v/>
      </c>
    </row>
    <row r="263" spans="25:31" x14ac:dyDescent="0.25">
      <c r="Y263" s="2" t="s">
        <v>840</v>
      </c>
      <c r="Z263" s="2" t="s">
        <v>389</v>
      </c>
      <c r="AA263" s="2" t="s">
        <v>390</v>
      </c>
      <c r="AB263" s="2" t="s">
        <v>363</v>
      </c>
      <c r="AC263" s="2">
        <f t="shared" si="5"/>
        <v>1</v>
      </c>
      <c r="AD263" s="2">
        <f>IF(AC263=1,COUNTIF($AC$2:AC263,1),"")</f>
        <v>259</v>
      </c>
      <c r="AE263" s="2" t="str">
        <f>IFERROR(INDEX($Y$2:$Y$253,MATCH(ROWS($AD$2:AD263),$AD$2:$AD$253,0)),"")</f>
        <v/>
      </c>
    </row>
    <row r="264" spans="25:31" x14ac:dyDescent="0.25">
      <c r="Y264" s="2" t="s">
        <v>841</v>
      </c>
      <c r="Z264" s="2" t="s">
        <v>842</v>
      </c>
      <c r="AA264" s="2" t="s">
        <v>843</v>
      </c>
      <c r="AB264" s="2" t="s">
        <v>517</v>
      </c>
      <c r="AC264" s="2">
        <f t="shared" si="5"/>
        <v>1</v>
      </c>
      <c r="AD264" s="2">
        <f>IF(AC264=1,COUNTIF($AC$2:AC264,1),"")</f>
        <v>260</v>
      </c>
      <c r="AE264" s="2" t="str">
        <f>IFERROR(INDEX($Y$2:$Y$253,MATCH(ROWS($AD$2:AD264),$AD$2:$AD$253,0)),"")</f>
        <v/>
      </c>
    </row>
    <row r="265" spans="25:31" x14ac:dyDescent="0.25">
      <c r="Y265" s="2" t="s">
        <v>100</v>
      </c>
      <c r="Z265" s="2" t="s">
        <v>405</v>
      </c>
      <c r="AA265" s="2" t="s">
        <v>406</v>
      </c>
      <c r="AB265" s="2" t="s">
        <v>363</v>
      </c>
      <c r="AC265" s="2">
        <f t="shared" si="5"/>
        <v>1</v>
      </c>
      <c r="AD265" s="2">
        <f>IF(AC265=1,COUNTIF($AC$2:AC265,1),"")</f>
        <v>261</v>
      </c>
      <c r="AE265" s="2" t="str">
        <f>IFERROR(INDEX($Y$2:$Y$253,MATCH(ROWS($AD$2:AD265),$AD$2:$AD$253,0)),"")</f>
        <v/>
      </c>
    </row>
    <row r="266" spans="25:31" x14ac:dyDescent="0.25">
      <c r="Y266" s="2" t="s">
        <v>661</v>
      </c>
      <c r="Z266" s="2" t="s">
        <v>662</v>
      </c>
      <c r="AA266" s="2" t="s">
        <v>663</v>
      </c>
      <c r="AB266" s="2" t="s">
        <v>517</v>
      </c>
      <c r="AC266" s="2">
        <f t="shared" si="5"/>
        <v>1</v>
      </c>
      <c r="AD266" s="2">
        <f>IF(AC266=1,COUNTIF($AC$2:AC266,1),"")</f>
        <v>262</v>
      </c>
      <c r="AE266" s="2" t="str">
        <f>IFERROR(INDEX($Y$2:$Y$253,MATCH(ROWS($AD$2:AD266),$AD$2:$AD$253,0)),"")</f>
        <v/>
      </c>
    </row>
    <row r="267" spans="25:31" x14ac:dyDescent="0.25">
      <c r="Y267" s="2" t="s">
        <v>45</v>
      </c>
      <c r="Z267" s="2" t="s">
        <v>285</v>
      </c>
      <c r="AA267" s="2" t="s">
        <v>286</v>
      </c>
      <c r="AB267" s="2" t="s">
        <v>193</v>
      </c>
      <c r="AC267" s="2">
        <f t="shared" si="5"/>
        <v>1</v>
      </c>
      <c r="AD267" s="2">
        <f>IF(AC267=1,COUNTIF($AC$2:AC267,1),"")</f>
        <v>263</v>
      </c>
      <c r="AE267" s="2" t="str">
        <f>IFERROR(INDEX($Y$2:$Y$253,MATCH(ROWS($AD$2:AD267),$AD$2:$AD$253,0)),"")</f>
        <v/>
      </c>
    </row>
    <row r="268" spans="25:31" x14ac:dyDescent="0.25">
      <c r="Y268" s="2" t="s">
        <v>46</v>
      </c>
      <c r="Z268" s="2" t="s">
        <v>287</v>
      </c>
      <c r="AA268" s="2" t="s">
        <v>288</v>
      </c>
      <c r="AB268" s="2" t="s">
        <v>193</v>
      </c>
      <c r="AC268" s="2">
        <f t="shared" si="5"/>
        <v>1</v>
      </c>
      <c r="AD268" s="2">
        <f>IF(AC268=1,COUNTIF($AC$2:AC268,1),"")</f>
        <v>264</v>
      </c>
      <c r="AE268" s="2" t="str">
        <f>IFERROR(INDEX($Y$2:$Y$253,MATCH(ROWS($AD$2:AD268),$AD$2:$AD$253,0)),"")</f>
        <v/>
      </c>
    </row>
    <row r="269" spans="25:31" x14ac:dyDescent="0.25">
      <c r="Y269" s="2" t="s">
        <v>844</v>
      </c>
      <c r="Z269" s="2" t="s">
        <v>845</v>
      </c>
      <c r="AA269" s="2" t="s">
        <v>846</v>
      </c>
      <c r="AB269" s="2" t="s">
        <v>517</v>
      </c>
      <c r="AC269" s="2">
        <f t="shared" si="5"/>
        <v>1</v>
      </c>
      <c r="AD269" s="2">
        <f>IF(AC269=1,COUNTIF($AC$2:AC269,1),"")</f>
        <v>265</v>
      </c>
      <c r="AE269" s="2" t="str">
        <f>IFERROR(INDEX($Y$2:$Y$253,MATCH(ROWS($AD$2:AD269),$AD$2:$AD$253,0)),"")</f>
        <v/>
      </c>
    </row>
  </sheetData>
  <sheetProtection algorithmName="SHA-512" hashValue="qF1/IwvKLaNjRR8baJfkKutkyXf28PMR1/jMbLny3S+sT9eg2XgwGWdAsEKJuSNMoOxrkNlfonmo9hA3DHN4Fg==" saltValue="5KOO5nMDkLy2gHCter09Jg==" spinCount="100000" sheet="1" objects="1" scenarios="1"/>
  <protectedRanges>
    <protectedRange sqref="I4 Q8:R17 F8:P10 J17:L17 G11:H12 H16:J16 M11:P15 I11:L13" name="Range1"/>
    <protectedRange sqref="D10:E12 D16:D17 I17 E16:G16" name="Range1_1"/>
  </protectedRanges>
  <mergeCells count="40">
    <mergeCell ref="D20:F20"/>
    <mergeCell ref="G20:J20"/>
    <mergeCell ref="D21:F21"/>
    <mergeCell ref="G21:J21"/>
    <mergeCell ref="AA18:AA19"/>
    <mergeCell ref="AB18:AB19"/>
    <mergeCell ref="AC18:AC19"/>
    <mergeCell ref="AD18:AD19"/>
    <mergeCell ref="AE18:AE19"/>
    <mergeCell ref="AF18:AF19"/>
    <mergeCell ref="U18:U19"/>
    <mergeCell ref="V18:V19"/>
    <mergeCell ref="W18:W19"/>
    <mergeCell ref="X18:X19"/>
    <mergeCell ref="Y18:Y19"/>
    <mergeCell ref="Z18:Z19"/>
    <mergeCell ref="O18:O19"/>
    <mergeCell ref="P18:P19"/>
    <mergeCell ref="Q18:Q19"/>
    <mergeCell ref="R18:R19"/>
    <mergeCell ref="S18:S19"/>
    <mergeCell ref="T18:T19"/>
    <mergeCell ref="G16:J16"/>
    <mergeCell ref="B18:B19"/>
    <mergeCell ref="C18:C19"/>
    <mergeCell ref="D18:F19"/>
    <mergeCell ref="G18:J19"/>
    <mergeCell ref="N18:N19"/>
    <mergeCell ref="B14:B15"/>
    <mergeCell ref="C14:C15"/>
    <mergeCell ref="D14:D15"/>
    <mergeCell ref="E14:E15"/>
    <mergeCell ref="F14:F15"/>
    <mergeCell ref="G14:J15"/>
    <mergeCell ref="B1:I1"/>
    <mergeCell ref="B2:I2"/>
    <mergeCell ref="B6:B7"/>
    <mergeCell ref="C6:C7"/>
    <mergeCell ref="D6:D7"/>
    <mergeCell ref="S6:T6"/>
  </mergeCells>
  <conditionalFormatting sqref="D16:F16">
    <cfRule type="expression" dxfId="0" priority="1">
      <formula>COUNTIF($D16:$F16,"☒")&gt;1</formula>
    </cfRule>
  </conditionalFormatting>
  <dataValidations count="3">
    <dataValidation type="custom" allowBlank="1" showInputMessage="1" showErrorMessage="1" errorTitle="Invalid percentage" error="Value must be between 0 and 100 and without the percentage sign (%)." sqref="D8:D10" xr:uid="{B654F200-D837-488A-9A97-8B23C05A5732}">
      <formula1>AND(D8&gt;=0,D8&lt;=100,TEXT(D8,"0")=SUBSTITUTE(D8,"%",""))</formula1>
    </dataValidation>
    <dataValidation type="list" allowBlank="1" showInputMessage="1" showErrorMessage="1" sqref="I4" xr:uid="{403EB1C6-047B-4996-B393-14043CDEB8F7}">
      <formula1>$O$25:$O$44</formula1>
    </dataValidation>
    <dataValidation type="whole" operator="greaterThanOrEqual" allowBlank="1" showInputMessage="1" showErrorMessage="1" sqref="D11:D12" xr:uid="{BF49E247-3229-4AE2-ADD4-679D8F1600FE}">
      <formula1>0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5C70A27-97FC-4E1E-A84F-5A7B97891FB5}">
          <x14:formula1>
            <xm:f>Validation!$G$3:$G$4</xm:f>
          </x14:formula1>
          <xm:sqref>D16:F16</xm:sqref>
        </x14:dataValidation>
        <x14:dataValidation type="list" allowBlank="1" showInputMessage="1" showErrorMessage="1" xr:uid="{CEC5E5DB-6404-4BF9-8C78-BBAC67912D49}">
          <x14:formula1>
            <xm:f>Validation!$D$3:$D$8</xm:f>
          </x14:formula1>
          <xm:sqref>D20:D21</xm:sqref>
        </x14:dataValidation>
        <x14:dataValidation type="list" allowBlank="1" showInputMessage="1" showErrorMessage="1" xr:uid="{EB524483-6F6D-4B79-A1C9-83B129F9A84E}">
          <x14:formula1>
            <xm:f>Validation!$A$3:$A$1024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J18"/>
  <sheetViews>
    <sheetView zoomScaleNormal="100" workbookViewId="0">
      <selection activeCell="D9" sqref="D9"/>
    </sheetView>
  </sheetViews>
  <sheetFormatPr defaultColWidth="9.140625" defaultRowHeight="15" x14ac:dyDescent="0.25"/>
  <cols>
    <col min="1" max="1" width="9.140625" style="2"/>
    <col min="2" max="2" width="10.85546875" style="2" customWidth="1"/>
    <col min="3" max="3" width="75.42578125" style="2" customWidth="1"/>
    <col min="4" max="6" width="15.28515625" style="2" customWidth="1"/>
    <col min="7" max="9" width="15.7109375" style="2" customWidth="1"/>
    <col min="10" max="10" width="10" style="2" customWidth="1"/>
    <col min="11" max="12" width="9.140625" style="2" customWidth="1"/>
    <col min="13" max="16384" width="9.140625" style="2"/>
  </cols>
  <sheetData>
    <row r="1" spans="2:10" ht="23.25" x14ac:dyDescent="0.25">
      <c r="B1" s="57" t="s">
        <v>0</v>
      </c>
      <c r="C1" s="57"/>
      <c r="D1" s="57"/>
      <c r="E1" s="57"/>
      <c r="F1" s="57"/>
      <c r="G1" s="57"/>
      <c r="H1" s="57"/>
      <c r="I1" s="57"/>
      <c r="J1" s="1"/>
    </row>
    <row r="2" spans="2:10" ht="23.25" x14ac:dyDescent="0.25">
      <c r="B2" s="57" t="s">
        <v>747</v>
      </c>
      <c r="C2" s="57"/>
      <c r="D2" s="57"/>
      <c r="E2" s="57"/>
      <c r="F2" s="57"/>
      <c r="G2" s="57"/>
      <c r="H2" s="57"/>
      <c r="I2" s="57"/>
      <c r="J2" s="1"/>
    </row>
    <row r="3" spans="2:10" ht="23.25" x14ac:dyDescent="0.25">
      <c r="B3" s="15"/>
      <c r="C3" s="15"/>
      <c r="D3" s="15"/>
      <c r="E3" s="15"/>
      <c r="F3" s="15"/>
      <c r="G3" s="15"/>
      <c r="H3" s="15"/>
      <c r="I3" s="15"/>
      <c r="J3" s="15"/>
    </row>
    <row r="4" spans="2:10" x14ac:dyDescent="0.25">
      <c r="B4" s="16" t="s">
        <v>2</v>
      </c>
      <c r="C4" s="18">
        <f>'M08 - Skill mix composition'!C4</f>
        <v>0</v>
      </c>
      <c r="E4" s="11" t="s">
        <v>1</v>
      </c>
      <c r="F4" s="18" t="str">
        <f>'M08 - Skill mix composition'!F4</f>
        <v/>
      </c>
      <c r="H4" s="16" t="s">
        <v>3</v>
      </c>
      <c r="I4" s="18">
        <f>'M08 - Skill mix composition'!I4</f>
        <v>0</v>
      </c>
    </row>
    <row r="5" spans="2:10" x14ac:dyDescent="0.25">
      <c r="B5" s="3"/>
    </row>
    <row r="7" spans="2:10" ht="30.75" customHeight="1" x14ac:dyDescent="0.25">
      <c r="B7" s="49" t="s">
        <v>4</v>
      </c>
      <c r="C7" s="49" t="s">
        <v>745</v>
      </c>
      <c r="D7" s="49" t="s">
        <v>856</v>
      </c>
      <c r="E7" s="49" t="s">
        <v>863</v>
      </c>
      <c r="F7" s="49" t="s">
        <v>853</v>
      </c>
      <c r="G7" s="58" t="s">
        <v>749</v>
      </c>
      <c r="H7" s="59"/>
      <c r="I7" s="59"/>
      <c r="J7" s="60"/>
    </row>
    <row r="8" spans="2:10" ht="33.75" customHeight="1" x14ac:dyDescent="0.25">
      <c r="B8" s="49"/>
      <c r="C8" s="49"/>
      <c r="D8" s="49"/>
      <c r="E8" s="49"/>
      <c r="F8" s="49"/>
      <c r="G8" s="61"/>
      <c r="H8" s="62"/>
      <c r="I8" s="62"/>
      <c r="J8" s="63"/>
    </row>
    <row r="9" spans="2:10" ht="35.1" customHeight="1" x14ac:dyDescent="0.25">
      <c r="B9" s="8">
        <v>1</v>
      </c>
      <c r="C9" s="9" t="s">
        <v>765</v>
      </c>
      <c r="D9" s="39" t="s">
        <v>989</v>
      </c>
      <c r="E9" s="39" t="s">
        <v>989</v>
      </c>
      <c r="F9" s="39" t="s">
        <v>989</v>
      </c>
      <c r="G9" s="54"/>
      <c r="H9" s="55"/>
      <c r="I9" s="55"/>
      <c r="J9" s="56"/>
    </row>
    <row r="10" spans="2:10" ht="35.1" customHeight="1" x14ac:dyDescent="0.25">
      <c r="B10" s="8">
        <v>2</v>
      </c>
      <c r="C10" s="9" t="s">
        <v>767</v>
      </c>
      <c r="D10" s="39" t="s">
        <v>989</v>
      </c>
      <c r="E10" s="39" t="s">
        <v>989</v>
      </c>
      <c r="F10" s="39" t="s">
        <v>989</v>
      </c>
      <c r="G10" s="54"/>
      <c r="H10" s="55"/>
      <c r="I10" s="55"/>
      <c r="J10" s="56"/>
    </row>
    <row r="11" spans="2:10" ht="35.1" customHeight="1" x14ac:dyDescent="0.25">
      <c r="B11" s="8">
        <v>3</v>
      </c>
      <c r="C11" s="9" t="s">
        <v>768</v>
      </c>
      <c r="D11" s="39" t="s">
        <v>989</v>
      </c>
      <c r="E11" s="39" t="s">
        <v>989</v>
      </c>
      <c r="F11" s="39" t="s">
        <v>989</v>
      </c>
      <c r="G11" s="54"/>
      <c r="H11" s="55"/>
      <c r="I11" s="55"/>
      <c r="J11" s="56"/>
    </row>
    <row r="12" spans="2:10" ht="35.1" customHeight="1" x14ac:dyDescent="0.25">
      <c r="B12" s="8">
        <v>4</v>
      </c>
      <c r="C12" s="13" t="s">
        <v>769</v>
      </c>
      <c r="D12" s="39" t="s">
        <v>989</v>
      </c>
      <c r="E12" s="39" t="s">
        <v>989</v>
      </c>
      <c r="F12" s="39" t="s">
        <v>989</v>
      </c>
      <c r="G12" s="54"/>
      <c r="H12" s="55"/>
      <c r="I12" s="55"/>
      <c r="J12" s="56"/>
    </row>
    <row r="13" spans="2:10" ht="35.1" customHeight="1" x14ac:dyDescent="0.25">
      <c r="B13" s="8">
        <v>5</v>
      </c>
      <c r="C13" s="13" t="s">
        <v>770</v>
      </c>
      <c r="D13" s="39" t="s">
        <v>989</v>
      </c>
      <c r="E13" s="39" t="s">
        <v>989</v>
      </c>
      <c r="F13" s="39" t="s">
        <v>989</v>
      </c>
      <c r="G13" s="54"/>
      <c r="H13" s="55"/>
      <c r="I13" s="55"/>
      <c r="J13" s="56"/>
    </row>
    <row r="14" spans="2:10" ht="15" customHeight="1" x14ac:dyDescent="0.25"/>
    <row r="15" spans="2:10" ht="15" customHeight="1" x14ac:dyDescent="0.25"/>
    <row r="16" spans="2:10" ht="15" customHeight="1" x14ac:dyDescent="0.25"/>
    <row r="17" ht="15" customHeight="1" x14ac:dyDescent="0.25"/>
    <row r="18" ht="15" customHeight="1" x14ac:dyDescent="0.25"/>
  </sheetData>
  <sheetProtection algorithmName="SHA-512" hashValue="Af2dLdB7+7ahoCBOHNsbUlHTH+d+dnTr2YChtei0Ldkz4826HTAGZEw5AMg8Vi5pMbzlrtaXbWWxbTEm2sbJsA==" saltValue="PmHipBrZolWoooh4VaZvdw==" spinCount="100000" sheet="1" objects="1" scenarios="1" selectLockedCells="1"/>
  <protectedRanges>
    <protectedRange sqref="D19" name="Range1_1_1"/>
    <protectedRange sqref="D9:D14 E9:F13" name="Range1_2"/>
  </protectedRanges>
  <mergeCells count="13">
    <mergeCell ref="B1:I1"/>
    <mergeCell ref="B2:I2"/>
    <mergeCell ref="B7:B8"/>
    <mergeCell ref="C7:C8"/>
    <mergeCell ref="D7:D8"/>
    <mergeCell ref="E7:E8"/>
    <mergeCell ref="F7:F8"/>
    <mergeCell ref="G7:J8"/>
    <mergeCell ref="G9:J9"/>
    <mergeCell ref="G10:J10"/>
    <mergeCell ref="G11:J11"/>
    <mergeCell ref="G12:J12"/>
    <mergeCell ref="G13:J13"/>
  </mergeCells>
  <conditionalFormatting sqref="D9:F13">
    <cfRule type="expression" dxfId="2" priority="1">
      <formula>COUNTIF($D9:$F9,"☒")&gt;1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5FA2D8-C298-4E63-89D7-CFB85000E757}">
          <x14:formula1>
            <xm:f>Validation!$G$3:$G$4</xm:f>
          </x14:formula1>
          <xm:sqref>D9:F13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M18"/>
  <sheetViews>
    <sheetView workbookViewId="0">
      <selection activeCell="D9" sqref="D9"/>
    </sheetView>
  </sheetViews>
  <sheetFormatPr defaultColWidth="9.140625" defaultRowHeight="15" x14ac:dyDescent="0.25"/>
  <cols>
    <col min="1" max="1" width="9.140625" style="2"/>
    <col min="2" max="2" width="10.85546875" style="2" customWidth="1"/>
    <col min="3" max="3" width="85" style="2" customWidth="1"/>
    <col min="4" max="6" width="16" style="2" customWidth="1"/>
    <col min="7" max="7" width="17" style="2" customWidth="1"/>
    <col min="8" max="8" width="18.28515625" style="2" customWidth="1"/>
    <col min="9" max="9" width="9.7109375" style="2" customWidth="1"/>
    <col min="10" max="10" width="10" style="2" customWidth="1"/>
    <col min="11" max="11" width="11.7109375" style="2" customWidth="1"/>
    <col min="12" max="12" width="9.85546875" style="2" customWidth="1"/>
    <col min="13" max="13" width="8.85546875" style="2" customWidth="1"/>
    <col min="14" max="16384" width="9.140625" style="2"/>
  </cols>
  <sheetData>
    <row r="1" spans="2:13" ht="23.25" x14ac:dyDescent="0.25">
      <c r="B1" s="57" t="s">
        <v>0</v>
      </c>
      <c r="C1" s="57"/>
      <c r="D1" s="57"/>
      <c r="E1" s="57"/>
      <c r="F1" s="57"/>
      <c r="G1" s="57"/>
      <c r="H1" s="57"/>
      <c r="I1" s="57"/>
      <c r="J1" s="1"/>
      <c r="K1" s="1"/>
      <c r="L1" s="1"/>
      <c r="M1" s="1"/>
    </row>
    <row r="2" spans="2:13" ht="23.25" x14ac:dyDescent="0.25">
      <c r="B2" s="57" t="s">
        <v>748</v>
      </c>
      <c r="C2" s="57"/>
      <c r="D2" s="57"/>
      <c r="E2" s="57"/>
      <c r="F2" s="57"/>
      <c r="G2" s="57"/>
      <c r="H2" s="57"/>
      <c r="I2" s="57"/>
      <c r="J2" s="1"/>
      <c r="K2" s="1"/>
      <c r="L2" s="1"/>
      <c r="M2" s="1"/>
    </row>
    <row r="3" spans="2:13" ht="23.25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2:13" x14ac:dyDescent="0.25">
      <c r="B4" s="16" t="s">
        <v>2</v>
      </c>
      <c r="C4" s="18">
        <f>'M08 - Skill mix composition'!C4</f>
        <v>0</v>
      </c>
      <c r="E4" s="11" t="s">
        <v>1</v>
      </c>
      <c r="F4" s="18" t="str">
        <f>'M08 - Skill mix composition'!F4</f>
        <v/>
      </c>
      <c r="H4" s="16" t="s">
        <v>3</v>
      </c>
      <c r="I4" s="18">
        <f>'M08 - Skill mix composition'!I4</f>
        <v>0</v>
      </c>
    </row>
    <row r="5" spans="2:13" x14ac:dyDescent="0.25">
      <c r="B5" s="3"/>
      <c r="L5" s="3"/>
    </row>
    <row r="6" spans="2:13" x14ac:dyDescent="0.25">
      <c r="L6" s="3"/>
    </row>
    <row r="7" spans="2:13" ht="30.75" customHeight="1" x14ac:dyDescent="0.25">
      <c r="B7" s="49" t="s">
        <v>4</v>
      </c>
      <c r="C7" s="49" t="s">
        <v>745</v>
      </c>
      <c r="D7" s="64" t="s">
        <v>856</v>
      </c>
      <c r="E7" s="64" t="s">
        <v>863</v>
      </c>
      <c r="F7" s="64" t="s">
        <v>853</v>
      </c>
      <c r="G7" s="58" t="s">
        <v>749</v>
      </c>
      <c r="H7" s="59"/>
      <c r="I7" s="59"/>
      <c r="J7" s="60"/>
    </row>
    <row r="8" spans="2:13" ht="33.75" customHeight="1" x14ac:dyDescent="0.25">
      <c r="B8" s="49"/>
      <c r="C8" s="49"/>
      <c r="D8" s="65"/>
      <c r="E8" s="65"/>
      <c r="F8" s="65"/>
      <c r="G8" s="61"/>
      <c r="H8" s="62"/>
      <c r="I8" s="62"/>
      <c r="J8" s="63"/>
    </row>
    <row r="9" spans="2:13" ht="34.5" customHeight="1" x14ac:dyDescent="0.25">
      <c r="B9" s="8">
        <v>1</v>
      </c>
      <c r="C9" s="19" t="s">
        <v>771</v>
      </c>
      <c r="D9" s="39" t="s">
        <v>989</v>
      </c>
      <c r="E9" s="39" t="s">
        <v>989</v>
      </c>
      <c r="F9" s="39" t="s">
        <v>989</v>
      </c>
      <c r="G9" s="54"/>
      <c r="H9" s="55"/>
      <c r="I9" s="55"/>
      <c r="J9" s="56"/>
    </row>
    <row r="10" spans="2:13" ht="34.5" customHeight="1" x14ac:dyDescent="0.25">
      <c r="B10" s="8">
        <v>2</v>
      </c>
      <c r="C10" s="19" t="s">
        <v>772</v>
      </c>
      <c r="D10" s="39" t="s">
        <v>989</v>
      </c>
      <c r="E10" s="39" t="s">
        <v>989</v>
      </c>
      <c r="F10" s="39" t="s">
        <v>989</v>
      </c>
      <c r="G10" s="54"/>
      <c r="H10" s="55"/>
      <c r="I10" s="55"/>
      <c r="J10" s="56"/>
    </row>
    <row r="11" spans="2:13" ht="34.5" customHeight="1" x14ac:dyDescent="0.25">
      <c r="B11" s="8">
        <v>3</v>
      </c>
      <c r="C11" s="19" t="s">
        <v>773</v>
      </c>
      <c r="D11" s="39" t="s">
        <v>989</v>
      </c>
      <c r="E11" s="39" t="s">
        <v>989</v>
      </c>
      <c r="F11" s="39" t="s">
        <v>989</v>
      </c>
      <c r="G11" s="54"/>
      <c r="H11" s="55"/>
      <c r="I11" s="55"/>
      <c r="J11" s="56"/>
    </row>
    <row r="12" spans="2:13" ht="34.5" customHeight="1" x14ac:dyDescent="0.25">
      <c r="B12" s="8">
        <v>4</v>
      </c>
      <c r="C12" s="20" t="s">
        <v>774</v>
      </c>
      <c r="D12" s="39" t="s">
        <v>989</v>
      </c>
      <c r="E12" s="39" t="s">
        <v>989</v>
      </c>
      <c r="F12" s="39" t="s">
        <v>989</v>
      </c>
      <c r="G12" s="54"/>
      <c r="H12" s="55"/>
      <c r="I12" s="55"/>
      <c r="J12" s="56"/>
    </row>
    <row r="13" spans="2:13" ht="34.5" customHeight="1" x14ac:dyDescent="0.25">
      <c r="B13" s="8">
        <v>5</v>
      </c>
      <c r="C13" s="20" t="s">
        <v>775</v>
      </c>
      <c r="D13" s="39" t="s">
        <v>989</v>
      </c>
      <c r="E13" s="39" t="s">
        <v>989</v>
      </c>
      <c r="F13" s="39" t="s">
        <v>989</v>
      </c>
      <c r="G13" s="54"/>
      <c r="H13" s="55"/>
      <c r="I13" s="55"/>
      <c r="J13" s="56"/>
    </row>
    <row r="14" spans="2:13" ht="34.5" customHeight="1" x14ac:dyDescent="0.25">
      <c r="B14" s="14">
        <v>6</v>
      </c>
      <c r="C14" s="21" t="s">
        <v>776</v>
      </c>
      <c r="D14" s="39" t="s">
        <v>989</v>
      </c>
      <c r="E14" s="39" t="s">
        <v>989</v>
      </c>
      <c r="F14" s="39" t="s">
        <v>989</v>
      </c>
      <c r="G14" s="54"/>
      <c r="H14" s="55"/>
      <c r="I14" s="55"/>
      <c r="J14" s="56"/>
    </row>
    <row r="15" spans="2:13" ht="34.5" customHeight="1" x14ac:dyDescent="0.25">
      <c r="B15" s="14">
        <v>7</v>
      </c>
      <c r="C15" s="21" t="s">
        <v>777</v>
      </c>
      <c r="D15" s="39" t="s">
        <v>989</v>
      </c>
      <c r="E15" s="39" t="s">
        <v>989</v>
      </c>
      <c r="F15" s="39" t="s">
        <v>989</v>
      </c>
      <c r="G15" s="54"/>
      <c r="H15" s="55"/>
      <c r="I15" s="55"/>
      <c r="J15" s="56"/>
    </row>
    <row r="16" spans="2:13" ht="34.5" customHeight="1" x14ac:dyDescent="0.25">
      <c r="B16" s="14">
        <v>8</v>
      </c>
      <c r="C16" s="21" t="s">
        <v>778</v>
      </c>
      <c r="D16" s="39" t="s">
        <v>989</v>
      </c>
      <c r="E16" s="39" t="s">
        <v>989</v>
      </c>
      <c r="F16" s="39" t="s">
        <v>989</v>
      </c>
      <c r="G16" s="54"/>
      <c r="H16" s="55"/>
      <c r="I16" s="55"/>
      <c r="J16" s="56"/>
    </row>
    <row r="17" ht="15" customHeight="1" x14ac:dyDescent="0.25"/>
    <row r="18" ht="15" customHeight="1" x14ac:dyDescent="0.25"/>
  </sheetData>
  <sheetProtection algorithmName="SHA-512" hashValue="UeJTZmRGG1gRhCYS67zRJxk381LZBgGDB4yby57kKQs3gV3HNdTRIwh+4QG9LXV8uXz7Tw0t07Z5KDZqikPO4Q==" saltValue="/iu5OutwmeBaBzoNAXLRew==" spinCount="100000" sheet="1" objects="1" scenarios="1" selectLockedCells="1"/>
  <protectedRanges>
    <protectedRange sqref="D19" name="Range1_1_1"/>
    <protectedRange sqref="D9:F16" name="Range1_2"/>
  </protectedRanges>
  <mergeCells count="16">
    <mergeCell ref="B1:I1"/>
    <mergeCell ref="B2:I2"/>
    <mergeCell ref="B7:B8"/>
    <mergeCell ref="C7:C8"/>
    <mergeCell ref="D7:D8"/>
    <mergeCell ref="E7:E8"/>
    <mergeCell ref="F7:F8"/>
    <mergeCell ref="G7:J8"/>
    <mergeCell ref="G14:J14"/>
    <mergeCell ref="G15:J15"/>
    <mergeCell ref="G16:J16"/>
    <mergeCell ref="G9:J9"/>
    <mergeCell ref="G10:J10"/>
    <mergeCell ref="G11:J11"/>
    <mergeCell ref="G12:J12"/>
    <mergeCell ref="G13:J13"/>
  </mergeCells>
  <conditionalFormatting sqref="D9:F16">
    <cfRule type="expression" dxfId="1" priority="1">
      <formula>COUNTIF($D9:$F9,"☒")&gt;1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947D9F-9CFA-44A2-8052-B6EA4B7F177A}">
          <x14:formula1>
            <xm:f>Validation!$G$3:$G$4</xm:f>
          </x14:formula1>
          <xm:sqref>D9:F16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F716-734A-43A8-B4E7-3341B1025FD2}">
  <dimension ref="A1:G267"/>
  <sheetViews>
    <sheetView zoomScaleNormal="100" workbookViewId="0">
      <pane ySplit="2" topLeftCell="A3" activePane="bottomLeft" state="frozen"/>
      <selection pane="bottomLeft" activeCell="D7" sqref="D7"/>
    </sheetView>
  </sheetViews>
  <sheetFormatPr defaultColWidth="12.5703125" defaultRowHeight="15.75" x14ac:dyDescent="0.25"/>
  <cols>
    <col min="1" max="1" width="49.28515625" style="32" bestFit="1" customWidth="1"/>
    <col min="2" max="3" width="12.5703125" style="32"/>
    <col min="4" max="4" width="60" style="32" bestFit="1" customWidth="1"/>
    <col min="5" max="16384" width="12.5703125" style="32"/>
  </cols>
  <sheetData>
    <row r="1" spans="1:7" x14ac:dyDescent="0.25">
      <c r="A1" s="66" t="str">
        <f>_p5z7F51v1ag</f>
        <v>NHWA Module 8-10</v>
      </c>
      <c r="B1" s="66"/>
      <c r="C1" s="66"/>
      <c r="D1" s="66"/>
      <c r="E1" s="66"/>
      <c r="F1" s="66"/>
    </row>
    <row r="2" spans="1:7" x14ac:dyDescent="0.25">
      <c r="A2" s="32" t="s">
        <v>852</v>
      </c>
      <c r="B2" s="32" t="s">
        <v>851</v>
      </c>
      <c r="C2" s="32" t="s">
        <v>850</v>
      </c>
      <c r="D2" s="32" t="str">
        <f>_SIWjelxSF5N</f>
        <v>NHWA_None_Limited_Developed_Demonstrated_Sustainable</v>
      </c>
      <c r="E2" s="32" t="s">
        <v>849</v>
      </c>
      <c r="F2" s="32" t="s">
        <v>848</v>
      </c>
      <c r="G2" s="32" t="s">
        <v>991</v>
      </c>
    </row>
    <row r="3" spans="1:7" x14ac:dyDescent="0.25">
      <c r="A3" s="32" t="str">
        <f>_oofyLUJJ6Vy</f>
        <v>Afghanistan</v>
      </c>
      <c r="B3" s="32">
        <v>2019</v>
      </c>
      <c r="C3" s="32" t="str">
        <f>_Xr12mI7VPn3</f>
        <v>default</v>
      </c>
      <c r="D3" s="32" t="s">
        <v>751</v>
      </c>
      <c r="E3" s="32" t="str">
        <f>_true</f>
        <v>Yes</v>
      </c>
      <c r="F3" s="32" t="str">
        <f>_true</f>
        <v>Yes</v>
      </c>
      <c r="G3" s="32" t="str">
        <f>__true</f>
        <v>☒</v>
      </c>
    </row>
    <row r="4" spans="1:7" x14ac:dyDescent="0.25">
      <c r="A4" s="32" t="str">
        <f>_VGOzFKfSazN</f>
        <v>Albania</v>
      </c>
      <c r="D4" s="32" t="s">
        <v>752</v>
      </c>
      <c r="E4" s="32" t="str">
        <f>_false</f>
        <v>No</v>
      </c>
      <c r="G4" s="32" t="str">
        <f>__false</f>
        <v>☐</v>
      </c>
    </row>
    <row r="5" spans="1:7" x14ac:dyDescent="0.25">
      <c r="A5" s="32" t="str">
        <f>_mNa42CHbkO7</f>
        <v>Algeria</v>
      </c>
      <c r="D5" s="32" t="s">
        <v>753</v>
      </c>
    </row>
    <row r="6" spans="1:7" x14ac:dyDescent="0.25">
      <c r="A6" s="32" t="str">
        <f>_VYVKdqiXo4b</f>
        <v>American Samoa</v>
      </c>
      <c r="D6" s="32" t="s">
        <v>754</v>
      </c>
    </row>
    <row r="7" spans="1:7" x14ac:dyDescent="0.25">
      <c r="A7" s="32" t="str">
        <f>_Rmy6DbwekE1</f>
        <v>Andorra</v>
      </c>
      <c r="D7" s="32" t="s">
        <v>755</v>
      </c>
    </row>
    <row r="8" spans="1:7" x14ac:dyDescent="0.25">
      <c r="A8" s="32" t="str">
        <f>_jFOZHDZpjPL</f>
        <v>Angola</v>
      </c>
    </row>
    <row r="9" spans="1:7" x14ac:dyDescent="0.25">
      <c r="A9" s="32" t="str">
        <f>_f4ZFD2aswys</f>
        <v>Anguilla</v>
      </c>
    </row>
    <row r="10" spans="1:7" x14ac:dyDescent="0.25">
      <c r="A10" s="32" t="str">
        <f>_pfhvgmllA9M</f>
        <v>Antigua and Barbuda</v>
      </c>
    </row>
    <row r="11" spans="1:7" x14ac:dyDescent="0.25">
      <c r="A11" s="32" t="str">
        <f>_AZdPnw0b1lm</f>
        <v>Argentina</v>
      </c>
    </row>
    <row r="12" spans="1:7" x14ac:dyDescent="0.25">
      <c r="A12" s="32" t="str">
        <f>_cWrL45je7mw</f>
        <v>Armenia</v>
      </c>
    </row>
    <row r="13" spans="1:7" x14ac:dyDescent="0.25">
      <c r="A13" s="32" t="str">
        <f>_lKZR6UK0afN</f>
        <v>Aruba</v>
      </c>
    </row>
    <row r="14" spans="1:7" x14ac:dyDescent="0.25">
      <c r="A14" s="32" t="str">
        <f>_LbWpsX1FJcC</f>
        <v>Australia</v>
      </c>
    </row>
    <row r="15" spans="1:7" x14ac:dyDescent="0.25">
      <c r="A15" s="32" t="str">
        <f>_e9IoKRAkYLO</f>
        <v>Austria</v>
      </c>
    </row>
    <row r="16" spans="1:7" x14ac:dyDescent="0.25">
      <c r="A16" s="32" t="str">
        <f>_ST86paYjRHP</f>
        <v>Azerbaijan</v>
      </c>
    </row>
    <row r="17" spans="1:1" x14ac:dyDescent="0.25">
      <c r="A17" s="32" t="str">
        <f>_VbbSe7wgS9s</f>
        <v>Bahamas</v>
      </c>
    </row>
    <row r="18" spans="1:1" x14ac:dyDescent="0.25">
      <c r="A18" s="32" t="str">
        <f>_T7tKHiW1Db1</f>
        <v>Bahrain</v>
      </c>
    </row>
    <row r="19" spans="1:1" x14ac:dyDescent="0.25">
      <c r="A19" s="32" t="str">
        <f>_dNLjKwsVjod</f>
        <v>Bangladesh</v>
      </c>
    </row>
    <row r="20" spans="1:1" x14ac:dyDescent="0.25">
      <c r="A20" s="32" t="str">
        <f>_iNT35p3jsEM</f>
        <v>Barbados</v>
      </c>
    </row>
    <row r="21" spans="1:1" x14ac:dyDescent="0.25">
      <c r="A21" s="32" t="str">
        <f>_Tr4i6jeDDqj</f>
        <v>Belarus</v>
      </c>
    </row>
    <row r="22" spans="1:1" x14ac:dyDescent="0.25">
      <c r="A22" s="32" t="str">
        <f>_KwgjnBBpe5b</f>
        <v>Belgium</v>
      </c>
    </row>
    <row r="23" spans="1:1" x14ac:dyDescent="0.25">
      <c r="A23" s="32" t="str">
        <f>_Nrnay4JA8Ga</f>
        <v>Belize</v>
      </c>
    </row>
    <row r="24" spans="1:1" x14ac:dyDescent="0.25">
      <c r="A24" s="32" t="str">
        <f>_DzAOqCf0ots</f>
        <v>Benin</v>
      </c>
    </row>
    <row r="25" spans="1:1" x14ac:dyDescent="0.25">
      <c r="A25" s="32" t="str">
        <f>_ZzoDfdWIt6z</f>
        <v>Bermuda</v>
      </c>
    </row>
    <row r="26" spans="1:1" x14ac:dyDescent="0.25">
      <c r="A26" s="32" t="str">
        <f>_JQ5qF3mRCMe</f>
        <v>Bhutan</v>
      </c>
    </row>
    <row r="27" spans="1:1" x14ac:dyDescent="0.25">
      <c r="A27" s="32" t="str">
        <f>_cpmmPDsQ3uG</f>
        <v>Bolivia (Plurinational State of)</v>
      </c>
    </row>
    <row r="28" spans="1:1" x14ac:dyDescent="0.25">
      <c r="A28" s="32" t="str">
        <f>_wyKC2eWRH3y</f>
        <v>Bonaire, Saint Eustatius and Saba</v>
      </c>
    </row>
    <row r="29" spans="1:1" x14ac:dyDescent="0.25">
      <c r="A29" s="32" t="str">
        <f>_n8iofJiiX4T</f>
        <v>Bosnia and Herzegovina</v>
      </c>
    </row>
    <row r="30" spans="1:1" x14ac:dyDescent="0.25">
      <c r="A30" s="32" t="str">
        <f>_c82mDnhUQly</f>
        <v>Botswana</v>
      </c>
    </row>
    <row r="31" spans="1:1" x14ac:dyDescent="0.25">
      <c r="A31" s="32" t="str">
        <f>_sg5v6c9tCZ3</f>
        <v>Bouvet Island</v>
      </c>
    </row>
    <row r="32" spans="1:1" x14ac:dyDescent="0.25">
      <c r="A32" s="32" t="str">
        <f>_dpcvWc01CeN</f>
        <v>Brazil</v>
      </c>
    </row>
    <row r="33" spans="1:1" x14ac:dyDescent="0.25">
      <c r="A33" s="32" t="str">
        <f>_PFAtPR87fHs</f>
        <v>British Indian Ocean Territory</v>
      </c>
    </row>
    <row r="34" spans="1:1" x14ac:dyDescent="0.25">
      <c r="A34" s="32" t="str">
        <f>_u7H4MyT2Y0A</f>
        <v>British Virgin Islands</v>
      </c>
    </row>
    <row r="35" spans="1:1" x14ac:dyDescent="0.25">
      <c r="A35" s="32" t="str">
        <f>_MJEntShoQVK</f>
        <v>Brunei Darussalam</v>
      </c>
    </row>
    <row r="36" spans="1:1" x14ac:dyDescent="0.25">
      <c r="A36" s="32" t="str">
        <f>_AjeCGGb8H76</f>
        <v>Bulgaria</v>
      </c>
    </row>
    <row r="37" spans="1:1" x14ac:dyDescent="0.25">
      <c r="A37" s="32" t="str">
        <f>_hmZE3mVAZFf</f>
        <v>Burkina Faso</v>
      </c>
    </row>
    <row r="38" spans="1:1" x14ac:dyDescent="0.25">
      <c r="A38" s="32" t="str">
        <f>_Xz7rnovuiOx</f>
        <v>Burundi</v>
      </c>
    </row>
    <row r="39" spans="1:1" x14ac:dyDescent="0.25">
      <c r="A39" s="32" t="str">
        <f>_bGWaeVBrOcc</f>
        <v>Cabo Verde</v>
      </c>
    </row>
    <row r="40" spans="1:1" x14ac:dyDescent="0.25">
      <c r="A40" s="32" t="str">
        <f>_dscgTvwyCw8</f>
        <v>Cambodia</v>
      </c>
    </row>
    <row r="41" spans="1:1" x14ac:dyDescent="0.25">
      <c r="A41" s="32" t="str">
        <f>_VPesUmegQpP</f>
        <v>Cameroon</v>
      </c>
    </row>
    <row r="42" spans="1:1" x14ac:dyDescent="0.25">
      <c r="A42" s="32" t="str">
        <f>_AJBfDthkySs</f>
        <v>Canada</v>
      </c>
    </row>
    <row r="43" spans="1:1" x14ac:dyDescent="0.25">
      <c r="A43" s="32" t="str">
        <f>_u3GOCB1Hu01</f>
        <v>Cayman Islands</v>
      </c>
    </row>
    <row r="44" spans="1:1" x14ac:dyDescent="0.25">
      <c r="A44" s="32" t="str">
        <f>_ZcrjvJaYQb7</f>
        <v>Central African Republic</v>
      </c>
    </row>
    <row r="45" spans="1:1" x14ac:dyDescent="0.25">
      <c r="A45" s="32" t="str">
        <f>_tV0rWhHr9cj</f>
        <v>Chad</v>
      </c>
    </row>
    <row r="46" spans="1:1" x14ac:dyDescent="0.25">
      <c r="A46" s="32" t="str">
        <f>_zFInPJBZVbN</f>
        <v>Chile</v>
      </c>
    </row>
    <row r="47" spans="1:1" x14ac:dyDescent="0.25">
      <c r="A47" s="32" t="str">
        <f>_q23bFLr2E5D</f>
        <v>China</v>
      </c>
    </row>
    <row r="48" spans="1:1" x14ac:dyDescent="0.25">
      <c r="A48" s="32" t="str">
        <f>_myv7amOYTHn</f>
        <v>China, Hong Kong SAR</v>
      </c>
    </row>
    <row r="49" spans="1:1" x14ac:dyDescent="0.25">
      <c r="A49" s="32" t="str">
        <f>_y582ESg0Vjo</f>
        <v>China, Macao SAR</v>
      </c>
    </row>
    <row r="50" spans="1:1" x14ac:dyDescent="0.25">
      <c r="A50" s="32" t="str">
        <f>_lGN2n7pZ6Ua</f>
        <v>China, Province of Taiwan</v>
      </c>
    </row>
    <row r="51" spans="1:1" x14ac:dyDescent="0.25">
      <c r="A51" s="32" t="str">
        <f>_a0Tb0vzKk1m</f>
        <v>China: Province of Taiwan only</v>
      </c>
    </row>
    <row r="52" spans="1:1" x14ac:dyDescent="0.25">
      <c r="A52" s="32" t="str">
        <f>_XjHXb0aFH5w</f>
        <v>Christmas Island</v>
      </c>
    </row>
    <row r="53" spans="1:1" x14ac:dyDescent="0.25">
      <c r="A53" s="32" t="str">
        <f>_AFIorEPU00q</f>
        <v>Cocos (Keeling) Islands</v>
      </c>
    </row>
    <row r="54" spans="1:1" x14ac:dyDescent="0.25">
      <c r="A54" s="32" t="str">
        <f>_jXQq22U4Y2e</f>
        <v>Colombia</v>
      </c>
    </row>
    <row r="55" spans="1:1" x14ac:dyDescent="0.25">
      <c r="A55" s="32" t="str">
        <f>_RTdjvXHJdnH</f>
        <v>Comoros</v>
      </c>
    </row>
    <row r="56" spans="1:1" x14ac:dyDescent="0.25">
      <c r="A56" s="32" t="str">
        <f>_shRXArPWh8H</f>
        <v>Congo</v>
      </c>
    </row>
    <row r="57" spans="1:1" x14ac:dyDescent="0.25">
      <c r="A57" s="32" t="str">
        <f>_TldYkeCwb5r</f>
        <v>Cook Islands</v>
      </c>
    </row>
    <row r="58" spans="1:1" x14ac:dyDescent="0.25">
      <c r="A58" s="32" t="str">
        <f>_pbH6bmcioGw</f>
        <v>Costa Rica</v>
      </c>
    </row>
    <row r="59" spans="1:1" x14ac:dyDescent="0.25">
      <c r="A59" s="32" t="str">
        <f>_lbMrRSBsXh3</f>
        <v>Croatia</v>
      </c>
    </row>
    <row r="60" spans="1:1" x14ac:dyDescent="0.25">
      <c r="A60" s="32" t="str">
        <f>_Zdl3ad7PayF</f>
        <v>Cuba</v>
      </c>
    </row>
    <row r="61" spans="1:1" x14ac:dyDescent="0.25">
      <c r="A61" s="32" t="str">
        <f>_QSpLidCdqMU</f>
        <v>Curaçao</v>
      </c>
    </row>
    <row r="62" spans="1:1" x14ac:dyDescent="0.25">
      <c r="A62" s="32" t="str">
        <f>_Mb9IYOFZYCv</f>
        <v>Cyprus</v>
      </c>
    </row>
    <row r="63" spans="1:1" x14ac:dyDescent="0.25">
      <c r="A63" s="32" t="str">
        <f>_XKKI1hhyFxk</f>
        <v>Czechia</v>
      </c>
    </row>
    <row r="64" spans="1:1" x14ac:dyDescent="0.25">
      <c r="A64" s="32" t="str">
        <f>_NhuW760cOQG</f>
        <v>Czechoslovakia, Former</v>
      </c>
    </row>
    <row r="65" spans="1:1" x14ac:dyDescent="0.25">
      <c r="A65" s="32" t="str">
        <f>_WXGcnQWJ0Qd</f>
        <v>Côte d'Ivoire</v>
      </c>
    </row>
    <row r="66" spans="1:1" x14ac:dyDescent="0.25">
      <c r="A66" s="32" t="str">
        <f>_OFXJXWnOG0R</f>
        <v>Democratic People's Republic of Korea</v>
      </c>
    </row>
    <row r="67" spans="1:1" x14ac:dyDescent="0.25">
      <c r="A67" s="32" t="str">
        <f>_EDHO4qOyY88</f>
        <v>Democratic Republic of the Congo</v>
      </c>
    </row>
    <row r="68" spans="1:1" x14ac:dyDescent="0.25">
      <c r="A68" s="32" t="str">
        <f>_CCl7hAqlrmE</f>
        <v>Denmark</v>
      </c>
    </row>
    <row r="69" spans="1:1" x14ac:dyDescent="0.25">
      <c r="A69" s="32" t="str">
        <f>_Yg9QkNQk9p7</f>
        <v>Djibouti</v>
      </c>
    </row>
    <row r="70" spans="1:1" x14ac:dyDescent="0.25">
      <c r="A70" s="32" t="str">
        <f>_s1mzBU7YOaZ</f>
        <v>Dominica</v>
      </c>
    </row>
    <row r="71" spans="1:1" x14ac:dyDescent="0.25">
      <c r="A71" s="32" t="str">
        <f>_PpjdOoVUc7k</f>
        <v>Dominican Republic</v>
      </c>
    </row>
    <row r="72" spans="1:1" x14ac:dyDescent="0.25">
      <c r="A72" s="32" t="str">
        <f>_LAPR4Iu2NVS</f>
        <v>Ecuador</v>
      </c>
    </row>
    <row r="73" spans="1:1" x14ac:dyDescent="0.25">
      <c r="A73" s="32" t="str">
        <f>_JIr15Xt3EQn</f>
        <v>Egypt</v>
      </c>
    </row>
    <row r="74" spans="1:1" x14ac:dyDescent="0.25">
      <c r="A74" s="32" t="str">
        <f>_Mk7P920hkBa</f>
        <v>El Salvador</v>
      </c>
    </row>
    <row r="75" spans="1:1" x14ac:dyDescent="0.25">
      <c r="A75" s="32" t="str">
        <f>_Fi5lLVwe1Th</f>
        <v>Equatorial Guinea</v>
      </c>
    </row>
    <row r="76" spans="1:1" x14ac:dyDescent="0.25">
      <c r="A76" s="32" t="str">
        <f>_vnbnnSZXGTv</f>
        <v>Eritrea</v>
      </c>
    </row>
    <row r="77" spans="1:1" x14ac:dyDescent="0.25">
      <c r="A77" s="32" t="str">
        <f>_XeWqwCw9G5s</f>
        <v>Estonia</v>
      </c>
    </row>
    <row r="78" spans="1:1" x14ac:dyDescent="0.25">
      <c r="A78" s="32" t="str">
        <f>_G3thRWUQAX9</f>
        <v>Eswatini</v>
      </c>
    </row>
    <row r="79" spans="1:1" x14ac:dyDescent="0.25">
      <c r="A79" s="32" t="str">
        <f>_zEYrsiNUGIo</f>
        <v>Ethiopia</v>
      </c>
    </row>
    <row r="80" spans="1:1" x14ac:dyDescent="0.25">
      <c r="A80" s="32" t="str">
        <f>_PRrdILmQQb3</f>
        <v>Falkland Islands (Malvinas)</v>
      </c>
    </row>
    <row r="81" spans="1:1" x14ac:dyDescent="0.25">
      <c r="A81" s="32" t="str">
        <f>_ngUSWwX0Oby</f>
        <v>Faroe Islands</v>
      </c>
    </row>
    <row r="82" spans="1:1" x14ac:dyDescent="0.25">
      <c r="A82" s="32" t="str">
        <f>_sSIYRwB1r74</f>
        <v>Fiji</v>
      </c>
    </row>
    <row r="83" spans="1:1" x14ac:dyDescent="0.25">
      <c r="A83" s="32" t="str">
        <f>_bnQX2QIuIY9</f>
        <v>Finland</v>
      </c>
    </row>
    <row r="84" spans="1:1" x14ac:dyDescent="0.25">
      <c r="A84" s="32" t="str">
        <f>_VnTycSnraEY</f>
        <v>France</v>
      </c>
    </row>
    <row r="85" spans="1:1" x14ac:dyDescent="0.25">
      <c r="A85" s="32" t="str">
        <f>_UJVEh0g7qOo</f>
        <v>French Guiana</v>
      </c>
    </row>
    <row r="86" spans="1:1" x14ac:dyDescent="0.25">
      <c r="A86" s="32" t="str">
        <f>_QLERXr2o7IE</f>
        <v>French Polynesia</v>
      </c>
    </row>
    <row r="87" spans="1:1" x14ac:dyDescent="0.25">
      <c r="A87" s="32" t="str">
        <f>_BLpPqpMtgQY</f>
        <v>French Southern Territories</v>
      </c>
    </row>
    <row r="88" spans="1:1" x14ac:dyDescent="0.25">
      <c r="A88" s="32" t="str">
        <f>_EGLpIMSAWhx</f>
        <v>Gabon</v>
      </c>
    </row>
    <row r="89" spans="1:1" x14ac:dyDescent="0.25">
      <c r="A89" s="32" t="str">
        <f>_z51rgcc5R8V</f>
        <v>Gambia</v>
      </c>
    </row>
    <row r="90" spans="1:1" x14ac:dyDescent="0.25">
      <c r="A90" s="32" t="str">
        <f>_fg8TSIHSGHX</f>
        <v>Georgia</v>
      </c>
    </row>
    <row r="91" spans="1:1" x14ac:dyDescent="0.25">
      <c r="A91" s="32" t="str">
        <f>_Ri2tb7LBVtP</f>
        <v>Germany</v>
      </c>
    </row>
    <row r="92" spans="1:1" x14ac:dyDescent="0.25">
      <c r="A92" s="32" t="str">
        <f>_hgGOTFYZxMO</f>
        <v>Germany, Former Democratic Republic</v>
      </c>
    </row>
    <row r="93" spans="1:1" x14ac:dyDescent="0.25">
      <c r="A93" s="32" t="str">
        <f>_E9G2aQpCs1A</f>
        <v>Germany, Former Federal Republic</v>
      </c>
    </row>
    <row r="94" spans="1:1" x14ac:dyDescent="0.25">
      <c r="A94" s="32" t="str">
        <f>_Fq9qs6Kn6wN</f>
        <v>Germany, West Berlin</v>
      </c>
    </row>
    <row r="95" spans="1:1" x14ac:dyDescent="0.25">
      <c r="A95" s="32" t="str">
        <f>_WC5rU5fLMzY</f>
        <v>Ghana</v>
      </c>
    </row>
    <row r="96" spans="1:1" x14ac:dyDescent="0.25">
      <c r="A96" s="32" t="str">
        <f>_BVzmce6DVeS</f>
        <v>Gibraltar</v>
      </c>
    </row>
    <row r="97" spans="1:1" x14ac:dyDescent="0.25">
      <c r="A97" s="32" t="str">
        <f>_eyvitcZL4ex</f>
        <v>Greece</v>
      </c>
    </row>
    <row r="98" spans="1:1" x14ac:dyDescent="0.25">
      <c r="A98" s="32" t="str">
        <f>_IZy3ESdFnp5</f>
        <v>Greenland</v>
      </c>
    </row>
    <row r="99" spans="1:1" x14ac:dyDescent="0.25">
      <c r="A99" s="32" t="str">
        <f>_gg9DH7dvdeD</f>
        <v>Grenada</v>
      </c>
    </row>
    <row r="100" spans="1:1" x14ac:dyDescent="0.25">
      <c r="A100" s="32" t="str">
        <f>_cRWrIpjzvVl</f>
        <v>Guadeloupe</v>
      </c>
    </row>
    <row r="101" spans="1:1" x14ac:dyDescent="0.25">
      <c r="A101" s="32" t="str">
        <f>_q9u7nkNkuGy</f>
        <v>Guam</v>
      </c>
    </row>
    <row r="102" spans="1:1" x14ac:dyDescent="0.25">
      <c r="A102" s="32" t="str">
        <f>_bhkJDAiqVKX</f>
        <v>Guatemala</v>
      </c>
    </row>
    <row r="103" spans="1:1" x14ac:dyDescent="0.25">
      <c r="A103" s="32" t="str">
        <f>_NUkOvK4bnj2</f>
        <v>Guernsey</v>
      </c>
    </row>
    <row r="104" spans="1:1" x14ac:dyDescent="0.25">
      <c r="A104" s="32" t="str">
        <f>_quQpOfBIDFC</f>
        <v>Guinea</v>
      </c>
    </row>
    <row r="105" spans="1:1" x14ac:dyDescent="0.25">
      <c r="A105" s="32" t="str">
        <f>_G9o5ad4oJJX</f>
        <v>Guinea-Bissau</v>
      </c>
    </row>
    <row r="106" spans="1:1" x14ac:dyDescent="0.25">
      <c r="A106" s="32" t="str">
        <f>_AUStREIxT4s</f>
        <v>Guyana</v>
      </c>
    </row>
    <row r="107" spans="1:1" x14ac:dyDescent="0.25">
      <c r="A107" s="32" t="str">
        <f>_ipe4pT2TW7G</f>
        <v>Haiti</v>
      </c>
    </row>
    <row r="108" spans="1:1" x14ac:dyDescent="0.25">
      <c r="A108" s="32" t="str">
        <f>_apVWLKfARpb</f>
        <v>Heard Island and McDonald Islands</v>
      </c>
    </row>
    <row r="109" spans="1:1" x14ac:dyDescent="0.25">
      <c r="A109" s="32" t="str">
        <f>_jZOt27rWre8</f>
        <v>Holy See</v>
      </c>
    </row>
    <row r="110" spans="1:1" x14ac:dyDescent="0.25">
      <c r="A110" s="32" t="str">
        <f>_mDSuyD9lOM5</f>
        <v>Honduras</v>
      </c>
    </row>
    <row r="111" spans="1:1" x14ac:dyDescent="0.25">
      <c r="A111" s="32" t="str">
        <f>_g49fuSiB623</f>
        <v>Hungary</v>
      </c>
    </row>
    <row r="112" spans="1:1" x14ac:dyDescent="0.25">
      <c r="A112" s="32" t="str">
        <f>_Bc3mYAhlY1a</f>
        <v>Iceland</v>
      </c>
    </row>
    <row r="113" spans="1:1" x14ac:dyDescent="0.25">
      <c r="A113" s="32" t="str">
        <f>_WApLDd37Yj2</f>
        <v>India</v>
      </c>
    </row>
    <row r="114" spans="1:1" x14ac:dyDescent="0.25">
      <c r="A114" s="32" t="str">
        <f>_jVqoXv7rFns</f>
        <v>Indonesia</v>
      </c>
    </row>
    <row r="115" spans="1:1" x14ac:dyDescent="0.25">
      <c r="A115" s="32" t="str">
        <f>_SsAjVE1S87E</f>
        <v>Iran (Islamic Republic of)</v>
      </c>
    </row>
    <row r="116" spans="1:1" x14ac:dyDescent="0.25">
      <c r="A116" s="32" t="str">
        <f>_fHXW26zg2U6</f>
        <v>Iraq</v>
      </c>
    </row>
    <row r="117" spans="1:1" x14ac:dyDescent="0.25">
      <c r="A117" s="32" t="str">
        <f>_uvTw0Kus5KZ</f>
        <v>Ireland</v>
      </c>
    </row>
    <row r="118" spans="1:1" x14ac:dyDescent="0.25">
      <c r="A118" s="32" t="str">
        <f>_ehNfKt5LpG9</f>
        <v>Isle of Man</v>
      </c>
    </row>
    <row r="119" spans="1:1" x14ac:dyDescent="0.25">
      <c r="A119" s="32" t="str">
        <f>_XebDUbuPqVx</f>
        <v>Israel</v>
      </c>
    </row>
    <row r="120" spans="1:1" x14ac:dyDescent="0.25">
      <c r="A120" s="32" t="str">
        <f>_ElwEWppmGgv</f>
        <v>Italy</v>
      </c>
    </row>
    <row r="121" spans="1:1" x14ac:dyDescent="0.25">
      <c r="A121" s="32" t="str">
        <f>_x6DVvicRjYC</f>
        <v>Jamaica</v>
      </c>
    </row>
    <row r="122" spans="1:1" x14ac:dyDescent="0.25">
      <c r="A122" s="32" t="str">
        <f>_JI5lagoUJR4</f>
        <v>Japan</v>
      </c>
    </row>
    <row r="123" spans="1:1" x14ac:dyDescent="0.25">
      <c r="A123" s="32" t="str">
        <f>_XJscL6IuHpd</f>
        <v>Jersey</v>
      </c>
    </row>
    <row r="124" spans="1:1" x14ac:dyDescent="0.25">
      <c r="A124" s="32" t="str">
        <f>_GWQBgBHdbbp</f>
        <v>Jordan</v>
      </c>
    </row>
    <row r="125" spans="1:1" x14ac:dyDescent="0.25">
      <c r="A125" s="32" t="str">
        <f>_ibGsqmiVkoU</f>
        <v>Kazakhstan</v>
      </c>
    </row>
    <row r="126" spans="1:1" x14ac:dyDescent="0.25">
      <c r="A126" s="32" t="str">
        <f>_HfVjCurKxh2</f>
        <v>Kenya</v>
      </c>
    </row>
    <row r="127" spans="1:1" x14ac:dyDescent="0.25">
      <c r="A127" s="32" t="str">
        <f>_Nlv8oKkoAwp</f>
        <v>Kiribati</v>
      </c>
    </row>
    <row r="128" spans="1:1" x14ac:dyDescent="0.25">
      <c r="A128" s="32" t="str">
        <f>_tnTRnfd2aVs</f>
        <v>Kuwait</v>
      </c>
    </row>
    <row r="129" spans="1:1" x14ac:dyDescent="0.25">
      <c r="A129" s="32" t="str">
        <f>_tDFavWinSwr</f>
        <v>Kyrgyzstan</v>
      </c>
    </row>
    <row r="130" spans="1:1" x14ac:dyDescent="0.25">
      <c r="A130" s="32" t="str">
        <f>_bvyjEfI0d2V</f>
        <v>Lao People's Democratic Republic</v>
      </c>
    </row>
    <row r="131" spans="1:1" x14ac:dyDescent="0.25">
      <c r="A131" s="32" t="str">
        <f>_gxi9jcBYyrL</f>
        <v>Latvia</v>
      </c>
    </row>
    <row r="132" spans="1:1" x14ac:dyDescent="0.25">
      <c r="A132" s="32" t="str">
        <f>_ACalScnrl2I</f>
        <v>Lebanon</v>
      </c>
    </row>
    <row r="133" spans="1:1" x14ac:dyDescent="0.25">
      <c r="A133" s="32" t="str">
        <f>_D4JnxOsqwE4</f>
        <v>Lesotho</v>
      </c>
    </row>
    <row r="134" spans="1:1" x14ac:dyDescent="0.25">
      <c r="A134" s="32" t="str">
        <f>_JEHwU064LAj</f>
        <v>Liberia</v>
      </c>
    </row>
    <row r="135" spans="1:1" x14ac:dyDescent="0.25">
      <c r="A135" s="32" t="str">
        <f>_zaluKz5Llai</f>
        <v>Libya</v>
      </c>
    </row>
    <row r="136" spans="1:1" x14ac:dyDescent="0.25">
      <c r="A136" s="32" t="str">
        <f>_gMz0MxjZcEt</f>
        <v>Liechtenstein</v>
      </c>
    </row>
    <row r="137" spans="1:1" x14ac:dyDescent="0.25">
      <c r="A137" s="32" t="str">
        <f>_T1irZBQ9gNW</f>
        <v>Lithuania</v>
      </c>
    </row>
    <row r="138" spans="1:1" x14ac:dyDescent="0.25">
      <c r="A138" s="32" t="str">
        <f>_mmJUi0PpvGi</f>
        <v>Luxembourg</v>
      </c>
    </row>
    <row r="139" spans="1:1" x14ac:dyDescent="0.25">
      <c r="A139" s="32" t="str">
        <f>_bcy4159FETR</f>
        <v>Madagascar</v>
      </c>
    </row>
    <row r="140" spans="1:1" x14ac:dyDescent="0.25">
      <c r="A140" s="32" t="str">
        <f>_G037PAPU5dO</f>
        <v>Malawi</v>
      </c>
    </row>
    <row r="141" spans="1:1" x14ac:dyDescent="0.25">
      <c r="A141" s="32" t="str">
        <f>_BmTVMvJHVBO</f>
        <v>Malaysia</v>
      </c>
    </row>
    <row r="142" spans="1:1" x14ac:dyDescent="0.25">
      <c r="A142" s="32" t="str">
        <f>_FOJUXD6f6lB</f>
        <v>Maldives</v>
      </c>
    </row>
    <row r="143" spans="1:1" x14ac:dyDescent="0.25">
      <c r="A143" s="32" t="str">
        <f>_EubjsxqlA4d</f>
        <v>Mali</v>
      </c>
    </row>
    <row r="144" spans="1:1" x14ac:dyDescent="0.25">
      <c r="A144" s="32" t="str">
        <f>_TIhakAVsQwM</f>
        <v>Malta</v>
      </c>
    </row>
    <row r="145" spans="1:1" x14ac:dyDescent="0.25">
      <c r="A145" s="32" t="str">
        <f>_Ajnw1b8m6eL</f>
        <v>Marshall Islands</v>
      </c>
    </row>
    <row r="146" spans="1:1" x14ac:dyDescent="0.25">
      <c r="A146" s="32" t="str">
        <f>_v2B5AtYQV8H</f>
        <v>Martinique</v>
      </c>
    </row>
    <row r="147" spans="1:1" x14ac:dyDescent="0.25">
      <c r="A147" s="32" t="str">
        <f>_XYpsN5j30R9</f>
        <v>Mauritania</v>
      </c>
    </row>
    <row r="148" spans="1:1" x14ac:dyDescent="0.25">
      <c r="A148" s="32" t="str">
        <f>_EB4aSZN0eQr</f>
        <v>Mauritius</v>
      </c>
    </row>
    <row r="149" spans="1:1" x14ac:dyDescent="0.25">
      <c r="A149" s="32" t="str">
        <f>_Bon3xyAAWKf</f>
        <v>Mayotte</v>
      </c>
    </row>
    <row r="150" spans="1:1" x14ac:dyDescent="0.25">
      <c r="A150" s="32" t="str">
        <f>_KAUSOoBq5Ft</f>
        <v>Mexico</v>
      </c>
    </row>
    <row r="151" spans="1:1" x14ac:dyDescent="0.25">
      <c r="A151" s="32" t="str">
        <f>_lnvESj20mWZ</f>
        <v>Micronesia (Federated States of)</v>
      </c>
    </row>
    <row r="152" spans="1:1" x14ac:dyDescent="0.25">
      <c r="A152" s="32" t="str">
        <f>_cZ8823L0fLJ</f>
        <v>Monaco</v>
      </c>
    </row>
    <row r="153" spans="1:1" x14ac:dyDescent="0.25">
      <c r="A153" s="32" t="str">
        <f>_IZSm5iPKkDg</f>
        <v>Mongolia</v>
      </c>
    </row>
    <row r="154" spans="1:1" x14ac:dyDescent="0.25">
      <c r="A154" s="32" t="str">
        <f>_JX7HJfPfbog</f>
        <v>Montenegro</v>
      </c>
    </row>
    <row r="155" spans="1:1" x14ac:dyDescent="0.25">
      <c r="A155" s="32" t="str">
        <f>_B4iWc3gcDcn</f>
        <v>Montserrat</v>
      </c>
    </row>
    <row r="156" spans="1:1" x14ac:dyDescent="0.25">
      <c r="A156" s="32" t="str">
        <f>_WuQvgvXKamv</f>
        <v>Morocco</v>
      </c>
    </row>
    <row r="157" spans="1:1" x14ac:dyDescent="0.25">
      <c r="A157" s="32" t="str">
        <f>_Gan3VYicAWe</f>
        <v>Mozambique</v>
      </c>
    </row>
    <row r="158" spans="1:1" x14ac:dyDescent="0.25">
      <c r="A158" s="32" t="str">
        <f>_YOL13ptz4ef</f>
        <v>Myanmar</v>
      </c>
    </row>
    <row r="159" spans="1:1" x14ac:dyDescent="0.25">
      <c r="A159" s="32" t="str">
        <f>_rtLnlu4GUI2</f>
        <v>Namibia</v>
      </c>
    </row>
    <row r="160" spans="1:1" x14ac:dyDescent="0.25">
      <c r="A160" s="32" t="str">
        <f>_Pz0LCggcqES</f>
        <v>Nauru</v>
      </c>
    </row>
    <row r="161" spans="1:1" x14ac:dyDescent="0.25">
      <c r="A161" s="32" t="str">
        <f>_pZZriU4sY0l</f>
        <v>Nepal</v>
      </c>
    </row>
    <row r="162" spans="1:1" x14ac:dyDescent="0.25">
      <c r="A162" s="32" t="str">
        <f>_rEQqufy2KNi</f>
        <v>Netherlands</v>
      </c>
    </row>
    <row r="163" spans="1:1" x14ac:dyDescent="0.25">
      <c r="A163" s="32" t="str">
        <f>_COs48yLdDvg</f>
        <v>Netherlands Antilles</v>
      </c>
    </row>
    <row r="164" spans="1:1" x14ac:dyDescent="0.25">
      <c r="A164" s="32" t="str">
        <f>_jMGr96nGwHN</f>
        <v>New Caledonia</v>
      </c>
    </row>
    <row r="165" spans="1:1" x14ac:dyDescent="0.25">
      <c r="A165" s="32" t="str">
        <f>_hG1CNbw8wSF</f>
        <v>New Zealand</v>
      </c>
    </row>
    <row r="166" spans="1:1" x14ac:dyDescent="0.25">
      <c r="A166" s="32" t="str">
        <f>_wnuoeS9sVZR</f>
        <v>Nicaragua</v>
      </c>
    </row>
    <row r="167" spans="1:1" x14ac:dyDescent="0.25">
      <c r="A167" s="32" t="str">
        <f>_O0hWoXlHhIS</f>
        <v>Niger</v>
      </c>
    </row>
    <row r="168" spans="1:1" x14ac:dyDescent="0.25">
      <c r="A168" s="32" t="str">
        <f>_I3NxIqG7bD4</f>
        <v>Nigeria</v>
      </c>
    </row>
    <row r="169" spans="1:1" x14ac:dyDescent="0.25">
      <c r="A169" s="32" t="str">
        <f>_KqaTbKanCG3</f>
        <v>Niue</v>
      </c>
    </row>
    <row r="170" spans="1:1" x14ac:dyDescent="0.25">
      <c r="A170" s="32" t="str">
        <f>_O7BGyJhV2Tc</f>
        <v>Norfolk Island</v>
      </c>
    </row>
    <row r="171" spans="1:1" x14ac:dyDescent="0.25">
      <c r="A171" s="32" t="str">
        <f>_cfBaKMnsXd1</f>
        <v>North Macedonia</v>
      </c>
    </row>
    <row r="172" spans="1:1" x14ac:dyDescent="0.25">
      <c r="A172" s="32" t="str">
        <f>_vPoFz9J1v6Y</f>
        <v>Northern Mariana Islands</v>
      </c>
    </row>
    <row r="173" spans="1:1" x14ac:dyDescent="0.25">
      <c r="A173" s="32" t="str">
        <f>_oy494aJtjTB</f>
        <v>Norway</v>
      </c>
    </row>
    <row r="174" spans="1:1" x14ac:dyDescent="0.25">
      <c r="A174" s="32" t="str">
        <f>_G8FCnT37gyb</f>
        <v>Oman</v>
      </c>
    </row>
    <row r="175" spans="1:1" x14ac:dyDescent="0.25">
      <c r="A175" s="32" t="str">
        <f>_yzAMOdV0Pmr</f>
        <v>Pakistan</v>
      </c>
    </row>
    <row r="176" spans="1:1" x14ac:dyDescent="0.25">
      <c r="A176" s="32" t="str">
        <f>_iFaKKDtb7nf</f>
        <v>Palau</v>
      </c>
    </row>
    <row r="177" spans="1:1" x14ac:dyDescent="0.25">
      <c r="A177" s="32" t="str">
        <f>_wUBWZEHJm6Q</f>
        <v>Panama</v>
      </c>
    </row>
    <row r="178" spans="1:1" x14ac:dyDescent="0.25">
      <c r="A178" s="32" t="str">
        <f>_Zav7juzGmEo</f>
        <v>Papua New Guinea</v>
      </c>
    </row>
    <row r="179" spans="1:1" x14ac:dyDescent="0.25">
      <c r="A179" s="32" t="str">
        <f>_Wpzccx0vjIP</f>
        <v>Paraguay</v>
      </c>
    </row>
    <row r="180" spans="1:1" x14ac:dyDescent="0.25">
      <c r="A180" s="32" t="str">
        <f>_vkXlj7ZPkGi</f>
        <v>Peru</v>
      </c>
    </row>
    <row r="181" spans="1:1" x14ac:dyDescent="0.25">
      <c r="A181" s="32" t="str">
        <f>_QkOClVdLto1</f>
        <v>Philippines</v>
      </c>
    </row>
    <row r="182" spans="1:1" x14ac:dyDescent="0.25">
      <c r="A182" s="32" t="str">
        <f>_fHaKXfcKthe</f>
        <v>Pitcairn</v>
      </c>
    </row>
    <row r="183" spans="1:1" x14ac:dyDescent="0.25">
      <c r="A183" s="32" t="str">
        <f>_wMTP4GblKr8</f>
        <v>Poland</v>
      </c>
    </row>
    <row r="184" spans="1:1" x14ac:dyDescent="0.25">
      <c r="A184" s="32" t="str">
        <f>_PevCwH17M73</f>
        <v>Portugal</v>
      </c>
    </row>
    <row r="185" spans="1:1" x14ac:dyDescent="0.25">
      <c r="A185" s="32" t="str">
        <f>_w3IJVQhc8Rm</f>
        <v>Puerto Rico</v>
      </c>
    </row>
    <row r="186" spans="1:1" x14ac:dyDescent="0.25">
      <c r="A186" s="32" t="str">
        <f>_jCtFxm8aADJ</f>
        <v>Qatar</v>
      </c>
    </row>
    <row r="187" spans="1:1" x14ac:dyDescent="0.25">
      <c r="A187" s="32" t="str">
        <f>_IbGbsybdeou</f>
        <v>Republic of Korea</v>
      </c>
    </row>
    <row r="188" spans="1:1" x14ac:dyDescent="0.25">
      <c r="A188" s="32" t="str">
        <f>_yBqy4nxuOCA</f>
        <v>Republic of Moldova</v>
      </c>
    </row>
    <row r="189" spans="1:1" x14ac:dyDescent="0.25">
      <c r="A189" s="32" t="str">
        <f>_ZRxKEGQmkWI</f>
        <v>Rodrigues</v>
      </c>
    </row>
    <row r="190" spans="1:1" x14ac:dyDescent="0.25">
      <c r="A190" s="32" t="str">
        <f>_N9i1v07Ro0E</f>
        <v>Romania</v>
      </c>
    </row>
    <row r="191" spans="1:1" x14ac:dyDescent="0.25">
      <c r="A191" s="32" t="str">
        <f>_i3v8r9XNls2</f>
        <v>Russian Federation</v>
      </c>
    </row>
    <row r="192" spans="1:1" x14ac:dyDescent="0.25">
      <c r="A192" s="32" t="str">
        <f>_UlQiEogy3wG</f>
        <v>Rwanda</v>
      </c>
    </row>
    <row r="193" spans="1:1" x14ac:dyDescent="0.25">
      <c r="A193" s="32" t="str">
        <f>_LTLHCOHyyWS</f>
        <v>Ryu Kyu Islands</v>
      </c>
    </row>
    <row r="194" spans="1:1" x14ac:dyDescent="0.25">
      <c r="A194" s="32" t="str">
        <f>_VwqhqUCaMgk</f>
        <v>Réunion</v>
      </c>
    </row>
    <row r="195" spans="1:1" x14ac:dyDescent="0.25">
      <c r="A195" s="32" t="str">
        <f>_GPyOOoIby8R</f>
        <v>Saint Barthélemy</v>
      </c>
    </row>
    <row r="196" spans="1:1" x14ac:dyDescent="0.25">
      <c r="A196" s="32" t="str">
        <f>_aZ7Bm5L90rn</f>
        <v>Saint Helena</v>
      </c>
    </row>
    <row r="197" spans="1:1" x14ac:dyDescent="0.25">
      <c r="A197" s="32" t="str">
        <f>_BlC8wOVHBlb</f>
        <v>Saint Kitts and Nevis</v>
      </c>
    </row>
    <row r="198" spans="1:1" x14ac:dyDescent="0.25">
      <c r="A198" s="32" t="str">
        <f>_RyAd6laKg3U</f>
        <v>Saint Lucia</v>
      </c>
    </row>
    <row r="199" spans="1:1" x14ac:dyDescent="0.25">
      <c r="A199" s="32" t="str">
        <f>_tSBEjAHKj9V</f>
        <v>Saint Martin (French part)</v>
      </c>
    </row>
    <row r="200" spans="1:1" x14ac:dyDescent="0.25">
      <c r="A200" s="32" t="str">
        <f>_HYEuE8zV74t</f>
        <v>Saint Pierre and Miquelon</v>
      </c>
    </row>
    <row r="201" spans="1:1" x14ac:dyDescent="0.25">
      <c r="A201" s="32" t="str">
        <f>_ZgsdoEiTlLq</f>
        <v>Saint Vincent and the Grenadines</v>
      </c>
    </row>
    <row r="202" spans="1:1" x14ac:dyDescent="0.25">
      <c r="A202" s="32" t="str">
        <f>_hpXoMVtJpT3</f>
        <v>Samoa</v>
      </c>
    </row>
    <row r="203" spans="1:1" x14ac:dyDescent="0.25">
      <c r="A203" s="32" t="str">
        <f>_SAsS1Kwc4iW</f>
        <v>San Marino</v>
      </c>
    </row>
    <row r="204" spans="1:1" x14ac:dyDescent="0.25">
      <c r="A204" s="32" t="str">
        <f>_FNduj2N3e8s</f>
        <v>Sao Tome and Principe</v>
      </c>
    </row>
    <row r="205" spans="1:1" x14ac:dyDescent="0.25">
      <c r="A205" s="32" t="str">
        <f>_xB6nQN5Wtpg</f>
        <v>Saudi Arabia</v>
      </c>
    </row>
    <row r="206" spans="1:1" x14ac:dyDescent="0.25">
      <c r="A206" s="32" t="str">
        <f>_wj7iV08dvFq</f>
        <v>Senegal</v>
      </c>
    </row>
    <row r="207" spans="1:1" x14ac:dyDescent="0.25">
      <c r="A207" s="32" t="str">
        <f>_oroMC4mMzMq</f>
        <v>Serbia</v>
      </c>
    </row>
    <row r="208" spans="1:1" x14ac:dyDescent="0.25">
      <c r="A208" s="32" t="str">
        <f>_HizhPCC5Ps5</f>
        <v>Serbia and Montenegro, Former</v>
      </c>
    </row>
    <row r="209" spans="1:1" x14ac:dyDescent="0.25">
      <c r="A209" s="32" t="str">
        <f>_wimH12ukPK5</f>
        <v>Seychelles</v>
      </c>
    </row>
    <row r="210" spans="1:1" x14ac:dyDescent="0.25">
      <c r="A210" s="32" t="str">
        <f>_qbqrFLCJewu</f>
        <v>Sierra Leone</v>
      </c>
    </row>
    <row r="211" spans="1:1" x14ac:dyDescent="0.25">
      <c r="A211" s="32" t="str">
        <f>_rb6V38jgfFc</f>
        <v>Singapore</v>
      </c>
    </row>
    <row r="212" spans="1:1" x14ac:dyDescent="0.25">
      <c r="A212" s="32" t="str">
        <f>_cCgL3J7Lsgn</f>
        <v>Sint Maarten (Dutch part)</v>
      </c>
    </row>
    <row r="213" spans="1:1" x14ac:dyDescent="0.25">
      <c r="A213" s="32" t="str">
        <f>_RDiXMdNXg16</f>
        <v>Slovakia</v>
      </c>
    </row>
    <row r="214" spans="1:1" x14ac:dyDescent="0.25">
      <c r="A214" s="32" t="str">
        <f>_PY4aKgi30fr</f>
        <v>Slovenia</v>
      </c>
    </row>
    <row r="215" spans="1:1" x14ac:dyDescent="0.25">
      <c r="A215" s="32" t="str">
        <f>_FUieyovDec8</f>
        <v>Solomon Islands</v>
      </c>
    </row>
    <row r="216" spans="1:1" x14ac:dyDescent="0.25">
      <c r="A216" s="32" t="str">
        <f>_oWNF4d3PK8C</f>
        <v>Somalia</v>
      </c>
    </row>
    <row r="217" spans="1:1" x14ac:dyDescent="0.25">
      <c r="A217" s="32" t="str">
        <f>_lVPoUAKCdmU</f>
        <v>South Africa</v>
      </c>
    </row>
    <row r="218" spans="1:1" x14ac:dyDescent="0.25">
      <c r="A218" s="32" t="str">
        <f>_z5ouOuycTPO</f>
        <v>South Georgia and the South Sandwich Islands</v>
      </c>
    </row>
    <row r="219" spans="1:1" x14ac:dyDescent="0.25">
      <c r="A219" s="32" t="str">
        <f>_mhWSEv79IJW</f>
        <v>South Sudan</v>
      </c>
    </row>
    <row r="220" spans="1:1" x14ac:dyDescent="0.25">
      <c r="A220" s="32" t="str">
        <f>_DVnpk4xiXGJ</f>
        <v>Spain</v>
      </c>
    </row>
    <row r="221" spans="1:1" x14ac:dyDescent="0.25">
      <c r="A221" s="32" t="str">
        <f>_er7MPiN3tdH</f>
        <v>Sri Lanka</v>
      </c>
    </row>
    <row r="222" spans="1:1" x14ac:dyDescent="0.25">
      <c r="A222" s="32" t="str">
        <f>_QqAzWHtJ8VC</f>
        <v>Sudan</v>
      </c>
    </row>
    <row r="223" spans="1:1" x14ac:dyDescent="0.25">
      <c r="A223" s="32" t="str">
        <f>_IjLnDADGraQ</f>
        <v>Sudan (former)</v>
      </c>
    </row>
    <row r="224" spans="1:1" x14ac:dyDescent="0.25">
      <c r="A224" s="32" t="str">
        <f>_jkyBvNzcTLl</f>
        <v>Suriname</v>
      </c>
    </row>
    <row r="225" spans="1:1" x14ac:dyDescent="0.25">
      <c r="A225" s="32" t="str">
        <f>_TWyMjVaaxmT</f>
        <v>Svalbard and Jan Mayen</v>
      </c>
    </row>
    <row r="226" spans="1:1" x14ac:dyDescent="0.25">
      <c r="A226" s="32" t="str">
        <f>_IFAb1JUZ0Fz</f>
        <v>Sweden</v>
      </c>
    </row>
    <row r="227" spans="1:1" x14ac:dyDescent="0.25">
      <c r="A227" s="32" t="str">
        <f>_q2HqXV5OO3z</f>
        <v>Switzerland</v>
      </c>
    </row>
    <row r="228" spans="1:1" x14ac:dyDescent="0.25">
      <c r="A228" s="32" t="str">
        <f>_HDN85xUGB65</f>
        <v>Syrian Arab Republic</v>
      </c>
    </row>
    <row r="229" spans="1:1" x14ac:dyDescent="0.25">
      <c r="A229" s="32" t="str">
        <f>_xb2ezJcUoSR</f>
        <v>Tajikistan</v>
      </c>
    </row>
    <row r="230" spans="1:1" x14ac:dyDescent="0.25">
      <c r="A230" s="32" t="str">
        <f>_vboedbUs1As</f>
        <v>Thailand</v>
      </c>
    </row>
    <row r="231" spans="1:1" x14ac:dyDescent="0.25">
      <c r="A231" s="32" t="str">
        <f>_pGLy2Zj2lVg</f>
        <v>The former state union Serbia and Montenegro</v>
      </c>
    </row>
    <row r="232" spans="1:1" x14ac:dyDescent="0.25">
      <c r="A232" s="32" t="str">
        <f>_cJU4qStc9QT</f>
        <v>Timor-Leste</v>
      </c>
    </row>
    <row r="233" spans="1:1" x14ac:dyDescent="0.25">
      <c r="A233" s="32" t="str">
        <f>_WtcZBCTspgM</f>
        <v>Togo</v>
      </c>
    </row>
    <row r="234" spans="1:1" x14ac:dyDescent="0.25">
      <c r="A234" s="32" t="str">
        <f>_VMqDEughMuP</f>
        <v>Tokelau</v>
      </c>
    </row>
    <row r="235" spans="1:1" x14ac:dyDescent="0.25">
      <c r="A235" s="32" t="str">
        <f>_zYQqFxQw5jj</f>
        <v>Tonga</v>
      </c>
    </row>
    <row r="236" spans="1:1" x14ac:dyDescent="0.25">
      <c r="A236" s="32" t="str">
        <f>_fYeClLy8K2x</f>
        <v>Trinidad and Tobago</v>
      </c>
    </row>
    <row r="237" spans="1:1" x14ac:dyDescent="0.25">
      <c r="A237" s="32" t="str">
        <f>_pMukkUmnnkh</f>
        <v>Tunisia</v>
      </c>
    </row>
    <row r="238" spans="1:1" x14ac:dyDescent="0.25">
      <c r="A238" s="32" t="str">
        <f>_eVEK7djdWqV</f>
        <v>Turkey</v>
      </c>
    </row>
    <row r="239" spans="1:1" x14ac:dyDescent="0.25">
      <c r="A239" s="32" t="str">
        <f>_HwqfuL9pQz5</f>
        <v>Turkmenistan</v>
      </c>
    </row>
    <row r="240" spans="1:1" x14ac:dyDescent="0.25">
      <c r="A240" s="32" t="str">
        <f>_vg4b11FL2Gl</f>
        <v>Turks and Caicos Islands</v>
      </c>
    </row>
    <row r="241" spans="1:1" x14ac:dyDescent="0.25">
      <c r="A241" s="32" t="str">
        <f>_GrU8zQv510v</f>
        <v>Tuvalu</v>
      </c>
    </row>
    <row r="242" spans="1:1" x14ac:dyDescent="0.25">
      <c r="A242" s="32" t="str">
        <f>_M9HrCkIwaKy</f>
        <v>US Virgin Islands</v>
      </c>
    </row>
    <row r="243" spans="1:1" x14ac:dyDescent="0.25">
      <c r="A243" s="32" t="str">
        <f>_wFkq5oB0dFS</f>
        <v>USSR, Former</v>
      </c>
    </row>
    <row r="244" spans="1:1" x14ac:dyDescent="0.25">
      <c r="A244" s="32" t="str">
        <f>_SnYHrnchKjL</f>
        <v>Uganda</v>
      </c>
    </row>
    <row r="245" spans="1:1" x14ac:dyDescent="0.25">
      <c r="A245" s="32" t="str">
        <f>_VJrTuNXAg9G</f>
        <v>Ukraine</v>
      </c>
    </row>
    <row r="246" spans="1:1" x14ac:dyDescent="0.25">
      <c r="A246" s="32" t="str">
        <f>_aNIrqpwcKXv</f>
        <v>United Arab Emirates</v>
      </c>
    </row>
    <row r="247" spans="1:1" x14ac:dyDescent="0.25">
      <c r="A247" s="32" t="str">
        <f>_Gnz4lqrVEMf</f>
        <v>United Kingdom of Great Britain and Northern Irela</v>
      </c>
    </row>
    <row r="248" spans="1:1" x14ac:dyDescent="0.25">
      <c r="A248" s="32" t="str">
        <f>_TpDwlm2Spev</f>
        <v>United Kingdom, England and Wales</v>
      </c>
    </row>
    <row r="249" spans="1:1" x14ac:dyDescent="0.25">
      <c r="A249" s="32" t="str">
        <f>_Q8De2VxoKXS</f>
        <v>United Kingdom, Northern Ireland</v>
      </c>
    </row>
    <row r="250" spans="1:1" x14ac:dyDescent="0.25">
      <c r="A250" s="32" t="str">
        <f>_Gvox4WmLiYC</f>
        <v>United Kingdom, Scotland</v>
      </c>
    </row>
    <row r="251" spans="1:1" x14ac:dyDescent="0.25">
      <c r="A251" s="32" t="str">
        <f>_S52uSY3lb8V</f>
        <v>United Republic of Tanzania</v>
      </c>
    </row>
    <row r="252" spans="1:1" x14ac:dyDescent="0.25">
      <c r="A252" s="32" t="str">
        <f>_KOUhvjWIy6V</f>
        <v>United States Minor Outlying Islands</v>
      </c>
    </row>
    <row r="253" spans="1:1" x14ac:dyDescent="0.25">
      <c r="A253" s="32" t="str">
        <f>_AYWCbVecRKQ</f>
        <v>United States of America</v>
      </c>
    </row>
    <row r="254" spans="1:1" x14ac:dyDescent="0.25">
      <c r="A254" s="32" t="str">
        <f>_PJS910L8KtX</f>
        <v>Uruguay</v>
      </c>
    </row>
    <row r="255" spans="1:1" x14ac:dyDescent="0.25">
      <c r="A255" s="32" t="str">
        <f>_kpFgAwwSjCZ</f>
        <v>Uzbekistan</v>
      </c>
    </row>
    <row r="256" spans="1:1" x14ac:dyDescent="0.25">
      <c r="A256" s="32" t="str">
        <f>_xqjIL1cGrl1</f>
        <v>Vanuatu</v>
      </c>
    </row>
    <row r="257" spans="1:1" x14ac:dyDescent="0.25">
      <c r="A257" s="32" t="str">
        <f>_fkrzFaeuYDn</f>
        <v>Venezuela (Bolivarian Republic of)</v>
      </c>
    </row>
    <row r="258" spans="1:1" x14ac:dyDescent="0.25">
      <c r="A258" s="32" t="str">
        <f>_av3fkpFxEXj</f>
        <v>Viet Nam</v>
      </c>
    </row>
    <row r="259" spans="1:1" x14ac:dyDescent="0.25">
      <c r="A259" s="32" t="str">
        <f>_eVp1pvRfPKS</f>
        <v>Wallis and Futuna</v>
      </c>
    </row>
    <row r="260" spans="1:1" x14ac:dyDescent="0.25">
      <c r="A260" s="32" t="str">
        <f>_KrU8C1YTdao</f>
        <v>West Bank</v>
      </c>
    </row>
    <row r="261" spans="1:1" x14ac:dyDescent="0.25">
      <c r="A261" s="32" t="str">
        <f>_juBxu3AprlM</f>
        <v>West Bank and Gaza Strip</v>
      </c>
    </row>
    <row r="262" spans="1:1" x14ac:dyDescent="0.25">
      <c r="A262" s="32" t="str">
        <f>_PvrMV4NjbtR</f>
        <v>Western Sahara</v>
      </c>
    </row>
    <row r="263" spans="1:1" x14ac:dyDescent="0.25">
      <c r="A263" s="32" t="str">
        <f>_HX7fBSMCCbL</f>
        <v>Yemen</v>
      </c>
    </row>
    <row r="264" spans="1:1" x14ac:dyDescent="0.25">
      <c r="A264" s="32" t="str">
        <f>_fIlPGTXBCUm</f>
        <v>Yugoslavia, Former</v>
      </c>
    </row>
    <row r="265" spans="1:1" x14ac:dyDescent="0.25">
      <c r="A265" s="32" t="str">
        <f>_gb7vWtO7Wjp</f>
        <v>Zambia</v>
      </c>
    </row>
    <row r="266" spans="1:1" x14ac:dyDescent="0.25">
      <c r="A266" s="32" t="str">
        <f>_buSEeeViTo3</f>
        <v>Zimbabwe</v>
      </c>
    </row>
    <row r="267" spans="1:1" x14ac:dyDescent="0.25">
      <c r="A267" s="32" t="str">
        <f>_Adzexk8xbzD</f>
        <v>Åland Islands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9861-11CF-472C-8668-511510CABF5F}">
  <dimension ref="A1:F331"/>
  <sheetViews>
    <sheetView zoomScaleNormal="100" workbookViewId="0">
      <pane ySplit="2" topLeftCell="A39" activePane="bottomLeft" state="frozen"/>
      <selection pane="bottomLeft" activeCell="C53" sqref="C53"/>
    </sheetView>
  </sheetViews>
  <sheetFormatPr defaultColWidth="12.5703125" defaultRowHeight="15.75" x14ac:dyDescent="0.25"/>
  <cols>
    <col min="1" max="2" width="34.28515625" style="32" customWidth="1"/>
    <col min="3" max="3" width="80" style="32" customWidth="1"/>
    <col min="4" max="16384" width="12.5703125" style="32"/>
  </cols>
  <sheetData>
    <row r="1" spans="1:6" x14ac:dyDescent="0.25">
      <c r="A1" s="66" t="s">
        <v>988</v>
      </c>
      <c r="B1" s="66" t="s">
        <v>987</v>
      </c>
      <c r="C1" s="66" t="s">
        <v>187</v>
      </c>
      <c r="D1" s="66" t="s">
        <v>986</v>
      </c>
      <c r="E1" s="66" t="s">
        <v>985</v>
      </c>
      <c r="F1" s="66" t="s">
        <v>984</v>
      </c>
    </row>
    <row r="2" spans="1:6" x14ac:dyDescent="0.25">
      <c r="A2" s="66"/>
      <c r="B2" s="66"/>
      <c r="C2" s="66"/>
      <c r="D2" s="66"/>
      <c r="E2" s="66"/>
      <c r="F2" s="66"/>
    </row>
    <row r="3" spans="1:6" x14ac:dyDescent="0.25">
      <c r="A3" s="32" t="s">
        <v>983</v>
      </c>
      <c r="B3" s="32" t="s">
        <v>900</v>
      </c>
      <c r="C3" s="32" t="s">
        <v>982</v>
      </c>
      <c r="D3" s="32" t="s">
        <v>898</v>
      </c>
    </row>
    <row r="4" spans="1:6" x14ac:dyDescent="0.25">
      <c r="A4" s="32" t="s">
        <v>981</v>
      </c>
      <c r="B4" s="32" t="s">
        <v>900</v>
      </c>
      <c r="C4" s="32" t="s">
        <v>980</v>
      </c>
      <c r="D4" s="32" t="s">
        <v>939</v>
      </c>
    </row>
    <row r="5" spans="1:6" x14ac:dyDescent="0.25">
      <c r="A5" s="32" t="s">
        <v>979</v>
      </c>
      <c r="B5" s="32" t="s">
        <v>900</v>
      </c>
      <c r="C5" s="32" t="s">
        <v>978</v>
      </c>
      <c r="D5" s="32" t="s">
        <v>898</v>
      </c>
    </row>
    <row r="6" spans="1:6" x14ac:dyDescent="0.25">
      <c r="A6" s="32" t="s">
        <v>977</v>
      </c>
      <c r="B6" s="32" t="s">
        <v>900</v>
      </c>
      <c r="C6" s="32" t="s">
        <v>976</v>
      </c>
      <c r="D6" s="32" t="s">
        <v>967</v>
      </c>
    </row>
    <row r="7" spans="1:6" x14ac:dyDescent="0.25">
      <c r="A7" s="32" t="s">
        <v>975</v>
      </c>
      <c r="B7" s="32" t="s">
        <v>900</v>
      </c>
      <c r="C7" s="32" t="s">
        <v>974</v>
      </c>
      <c r="D7" s="32" t="s">
        <v>898</v>
      </c>
    </row>
    <row r="8" spans="1:6" x14ac:dyDescent="0.25">
      <c r="A8" s="32" t="s">
        <v>973</v>
      </c>
      <c r="B8" s="32" t="s">
        <v>900</v>
      </c>
      <c r="C8" s="32" t="s">
        <v>972</v>
      </c>
      <c r="D8" s="32" t="s">
        <v>898</v>
      </c>
    </row>
    <row r="9" spans="1:6" x14ac:dyDescent="0.25">
      <c r="A9" s="32" t="s">
        <v>971</v>
      </c>
      <c r="B9" s="32" t="s">
        <v>900</v>
      </c>
      <c r="C9" s="32" t="s">
        <v>970</v>
      </c>
      <c r="D9" s="32" t="s">
        <v>946</v>
      </c>
    </row>
    <row r="10" spans="1:6" x14ac:dyDescent="0.25">
      <c r="A10" s="32" t="s">
        <v>969</v>
      </c>
      <c r="B10" s="32" t="s">
        <v>900</v>
      </c>
      <c r="C10" s="32" t="s">
        <v>968</v>
      </c>
      <c r="D10" s="32" t="s">
        <v>967</v>
      </c>
    </row>
    <row r="11" spans="1:6" x14ac:dyDescent="0.25">
      <c r="A11" s="32" t="s">
        <v>966</v>
      </c>
      <c r="B11" s="32" t="s">
        <v>900</v>
      </c>
      <c r="C11" s="32" t="s">
        <v>965</v>
      </c>
      <c r="D11" s="32" t="s">
        <v>939</v>
      </c>
    </row>
    <row r="12" spans="1:6" x14ac:dyDescent="0.25">
      <c r="A12" s="32" t="s">
        <v>964</v>
      </c>
      <c r="B12" s="32" t="s">
        <v>900</v>
      </c>
      <c r="C12" s="32" t="s">
        <v>963</v>
      </c>
      <c r="D12" s="32" t="s">
        <v>898</v>
      </c>
    </row>
    <row r="13" spans="1:6" x14ac:dyDescent="0.25">
      <c r="A13" s="32" t="s">
        <v>962</v>
      </c>
      <c r="B13" s="32" t="s">
        <v>900</v>
      </c>
      <c r="C13" s="32" t="s">
        <v>961</v>
      </c>
      <c r="D13" s="32" t="s">
        <v>902</v>
      </c>
    </row>
    <row r="14" spans="1:6" x14ac:dyDescent="0.25">
      <c r="A14" s="32" t="s">
        <v>960</v>
      </c>
      <c r="B14" s="32" t="s">
        <v>900</v>
      </c>
      <c r="C14" s="32" t="s">
        <v>959</v>
      </c>
      <c r="D14" s="32" t="s">
        <v>898</v>
      </c>
    </row>
    <row r="15" spans="1:6" x14ac:dyDescent="0.25">
      <c r="A15" s="32" t="s">
        <v>958</v>
      </c>
      <c r="B15" s="32" t="s">
        <v>900</v>
      </c>
      <c r="C15" s="32" t="s">
        <v>957</v>
      </c>
      <c r="D15" s="32" t="s">
        <v>898</v>
      </c>
    </row>
    <row r="16" spans="1:6" x14ac:dyDescent="0.25">
      <c r="A16" s="32" t="s">
        <v>956</v>
      </c>
      <c r="B16" s="32" t="s">
        <v>900</v>
      </c>
      <c r="C16" s="32" t="s">
        <v>955</v>
      </c>
      <c r="D16" s="32" t="s">
        <v>902</v>
      </c>
    </row>
    <row r="17" spans="1:6" x14ac:dyDescent="0.25">
      <c r="A17" s="32" t="s">
        <v>954</v>
      </c>
      <c r="B17" s="32" t="s">
        <v>900</v>
      </c>
      <c r="C17" s="32" t="s">
        <v>953</v>
      </c>
      <c r="D17" s="32" t="s">
        <v>902</v>
      </c>
    </row>
    <row r="18" spans="1:6" x14ac:dyDescent="0.25">
      <c r="A18" s="32" t="s">
        <v>952</v>
      </c>
      <c r="B18" s="32" t="s">
        <v>900</v>
      </c>
      <c r="C18" s="32" t="s">
        <v>951</v>
      </c>
      <c r="D18" s="32" t="s">
        <v>859</v>
      </c>
      <c r="E18" s="32" t="s">
        <v>860</v>
      </c>
      <c r="F18" s="32" t="s">
        <v>870</v>
      </c>
    </row>
    <row r="19" spans="1:6" x14ac:dyDescent="0.25">
      <c r="A19" s="32" t="s">
        <v>950</v>
      </c>
      <c r="B19" s="32" t="s">
        <v>900</v>
      </c>
      <c r="C19" s="32" t="s">
        <v>949</v>
      </c>
      <c r="D19" s="32" t="s">
        <v>946</v>
      </c>
    </row>
    <row r="20" spans="1:6" x14ac:dyDescent="0.25">
      <c r="A20" s="32" t="s">
        <v>948</v>
      </c>
      <c r="B20" s="32" t="s">
        <v>900</v>
      </c>
      <c r="C20" s="32" t="s">
        <v>947</v>
      </c>
      <c r="D20" s="32" t="s">
        <v>946</v>
      </c>
    </row>
    <row r="21" spans="1:6" x14ac:dyDescent="0.25">
      <c r="A21" s="32" t="s">
        <v>945</v>
      </c>
      <c r="B21" s="32" t="s">
        <v>900</v>
      </c>
      <c r="C21" s="32" t="s">
        <v>944</v>
      </c>
      <c r="D21" s="32" t="s">
        <v>902</v>
      </c>
    </row>
    <row r="22" spans="1:6" x14ac:dyDescent="0.25">
      <c r="A22" s="32" t="s">
        <v>943</v>
      </c>
      <c r="B22" s="32" t="s">
        <v>900</v>
      </c>
      <c r="C22" s="32" t="s">
        <v>942</v>
      </c>
      <c r="D22" s="32" t="s">
        <v>902</v>
      </c>
    </row>
    <row r="23" spans="1:6" x14ac:dyDescent="0.25">
      <c r="A23" s="32" t="s">
        <v>941</v>
      </c>
      <c r="B23" s="32" t="s">
        <v>900</v>
      </c>
      <c r="C23" s="32" t="s">
        <v>940</v>
      </c>
      <c r="D23" s="32" t="s">
        <v>939</v>
      </c>
    </row>
    <row r="24" spans="1:6" x14ac:dyDescent="0.25">
      <c r="A24" s="32" t="s">
        <v>938</v>
      </c>
      <c r="B24" s="32" t="s">
        <v>900</v>
      </c>
      <c r="C24" s="32" t="s">
        <v>937</v>
      </c>
      <c r="D24" s="32" t="s">
        <v>898</v>
      </c>
    </row>
    <row r="25" spans="1:6" x14ac:dyDescent="0.25">
      <c r="A25" s="32" t="s">
        <v>936</v>
      </c>
      <c r="B25" s="32" t="s">
        <v>900</v>
      </c>
      <c r="C25" s="32" t="s">
        <v>935</v>
      </c>
      <c r="D25" s="32" t="s">
        <v>898</v>
      </c>
    </row>
    <row r="26" spans="1:6" x14ac:dyDescent="0.25">
      <c r="A26" s="32" t="s">
        <v>934</v>
      </c>
      <c r="B26" s="32" t="s">
        <v>900</v>
      </c>
      <c r="C26" s="32" t="s">
        <v>933</v>
      </c>
      <c r="D26" s="32" t="s">
        <v>898</v>
      </c>
    </row>
    <row r="27" spans="1:6" x14ac:dyDescent="0.25">
      <c r="A27" s="32" t="s">
        <v>932</v>
      </c>
      <c r="B27" s="32" t="s">
        <v>900</v>
      </c>
      <c r="C27" s="32" t="s">
        <v>931</v>
      </c>
      <c r="D27" s="32" t="s">
        <v>859</v>
      </c>
      <c r="E27" s="32" t="s">
        <v>860</v>
      </c>
      <c r="F27" s="32" t="s">
        <v>870</v>
      </c>
    </row>
    <row r="28" spans="1:6" x14ac:dyDescent="0.25">
      <c r="A28" s="32" t="s">
        <v>930</v>
      </c>
      <c r="B28" s="32" t="s">
        <v>900</v>
      </c>
      <c r="C28" s="32" t="s">
        <v>929</v>
      </c>
      <c r="D28" s="32" t="s">
        <v>898</v>
      </c>
    </row>
    <row r="29" spans="1:6" x14ac:dyDescent="0.25">
      <c r="A29" s="32" t="s">
        <v>928</v>
      </c>
      <c r="B29" s="32" t="s">
        <v>900</v>
      </c>
      <c r="C29" s="32" t="s">
        <v>927</v>
      </c>
      <c r="D29" s="32" t="s">
        <v>902</v>
      </c>
    </row>
    <row r="30" spans="1:6" x14ac:dyDescent="0.25">
      <c r="A30" s="32" t="s">
        <v>926</v>
      </c>
      <c r="B30" s="32" t="s">
        <v>900</v>
      </c>
      <c r="C30" s="32" t="s">
        <v>925</v>
      </c>
      <c r="D30" s="32" t="s">
        <v>902</v>
      </c>
    </row>
    <row r="31" spans="1:6" x14ac:dyDescent="0.25">
      <c r="A31" s="32" t="s">
        <v>924</v>
      </c>
      <c r="B31" s="32" t="s">
        <v>900</v>
      </c>
      <c r="C31" s="32" t="s">
        <v>923</v>
      </c>
      <c r="D31" s="32" t="s">
        <v>898</v>
      </c>
    </row>
    <row r="32" spans="1:6" x14ac:dyDescent="0.25">
      <c r="A32" s="32" t="s">
        <v>922</v>
      </c>
      <c r="B32" s="32" t="s">
        <v>900</v>
      </c>
      <c r="C32" s="32" t="s">
        <v>921</v>
      </c>
      <c r="D32" s="32" t="s">
        <v>902</v>
      </c>
    </row>
    <row r="33" spans="1:4" x14ac:dyDescent="0.25">
      <c r="A33" s="32" t="s">
        <v>920</v>
      </c>
      <c r="B33" s="32" t="s">
        <v>900</v>
      </c>
      <c r="C33" s="32" t="s">
        <v>919</v>
      </c>
      <c r="D33" s="32" t="s">
        <v>902</v>
      </c>
    </row>
    <row r="34" spans="1:4" x14ac:dyDescent="0.25">
      <c r="A34" s="32" t="s">
        <v>918</v>
      </c>
      <c r="B34" s="32" t="s">
        <v>900</v>
      </c>
      <c r="C34" s="32" t="s">
        <v>917</v>
      </c>
      <c r="D34" s="32" t="s">
        <v>902</v>
      </c>
    </row>
    <row r="35" spans="1:4" x14ac:dyDescent="0.25">
      <c r="A35" s="32" t="s">
        <v>916</v>
      </c>
      <c r="B35" s="32" t="s">
        <v>900</v>
      </c>
      <c r="C35" s="32" t="s">
        <v>915</v>
      </c>
      <c r="D35" s="32" t="s">
        <v>898</v>
      </c>
    </row>
    <row r="36" spans="1:4" x14ac:dyDescent="0.25">
      <c r="A36" s="32" t="s">
        <v>914</v>
      </c>
      <c r="B36" s="32" t="s">
        <v>900</v>
      </c>
      <c r="C36" s="32" t="s">
        <v>913</v>
      </c>
      <c r="D36" s="32" t="s">
        <v>902</v>
      </c>
    </row>
    <row r="37" spans="1:4" x14ac:dyDescent="0.25">
      <c r="A37" s="32" t="s">
        <v>912</v>
      </c>
      <c r="B37" s="32" t="s">
        <v>900</v>
      </c>
      <c r="C37" s="32" t="s">
        <v>911</v>
      </c>
      <c r="D37" s="32" t="s">
        <v>898</v>
      </c>
    </row>
    <row r="38" spans="1:4" x14ac:dyDescent="0.25">
      <c r="A38" s="32" t="s">
        <v>910</v>
      </c>
      <c r="B38" s="32" t="s">
        <v>900</v>
      </c>
      <c r="C38" s="32" t="s">
        <v>909</v>
      </c>
      <c r="D38" s="32" t="s">
        <v>902</v>
      </c>
    </row>
    <row r="39" spans="1:4" x14ac:dyDescent="0.25">
      <c r="A39" s="32" t="s">
        <v>908</v>
      </c>
      <c r="B39" s="32" t="s">
        <v>900</v>
      </c>
      <c r="C39" s="32" t="s">
        <v>907</v>
      </c>
      <c r="D39" s="32" t="s">
        <v>902</v>
      </c>
    </row>
    <row r="40" spans="1:4" x14ac:dyDescent="0.25">
      <c r="A40" s="32" t="s">
        <v>906</v>
      </c>
      <c r="B40" s="32" t="s">
        <v>900</v>
      </c>
      <c r="C40" s="32" t="s">
        <v>905</v>
      </c>
      <c r="D40" s="32" t="s">
        <v>898</v>
      </c>
    </row>
    <row r="41" spans="1:4" x14ac:dyDescent="0.25">
      <c r="A41" s="32" t="s">
        <v>904</v>
      </c>
      <c r="B41" s="32" t="s">
        <v>900</v>
      </c>
      <c r="C41" s="32" t="s">
        <v>903</v>
      </c>
      <c r="D41" s="32" t="s">
        <v>902</v>
      </c>
    </row>
    <row r="42" spans="1:4" x14ac:dyDescent="0.25">
      <c r="A42" s="32" t="s">
        <v>901</v>
      </c>
      <c r="B42" s="32" t="s">
        <v>900</v>
      </c>
      <c r="C42" s="32" t="s">
        <v>899</v>
      </c>
      <c r="D42" s="32" t="s">
        <v>898</v>
      </c>
    </row>
    <row r="43" spans="1:4" x14ac:dyDescent="0.25">
      <c r="A43" s="32" t="s">
        <v>897</v>
      </c>
      <c r="B43" s="32" t="s">
        <v>895</v>
      </c>
      <c r="C43" s="32" t="s">
        <v>891</v>
      </c>
    </row>
    <row r="44" spans="1:4" x14ac:dyDescent="0.25">
      <c r="A44" s="32" t="s">
        <v>896</v>
      </c>
      <c r="B44" s="32" t="s">
        <v>895</v>
      </c>
      <c r="C44" s="32" t="s">
        <v>868</v>
      </c>
    </row>
    <row r="45" spans="1:4" x14ac:dyDescent="0.25">
      <c r="A45" s="32" t="s">
        <v>894</v>
      </c>
      <c r="B45" s="32" t="s">
        <v>892</v>
      </c>
      <c r="C45" s="32" t="s">
        <v>868</v>
      </c>
    </row>
    <row r="46" spans="1:4" x14ac:dyDescent="0.25">
      <c r="A46" s="32" t="s">
        <v>893</v>
      </c>
      <c r="B46" s="32" t="s">
        <v>892</v>
      </c>
      <c r="C46" s="32" t="s">
        <v>891</v>
      </c>
    </row>
    <row r="47" spans="1:4" x14ac:dyDescent="0.25">
      <c r="A47" s="32" t="s">
        <v>890</v>
      </c>
      <c r="B47" s="32" t="s">
        <v>889</v>
      </c>
      <c r="C47" s="32" t="s">
        <v>888</v>
      </c>
    </row>
    <row r="48" spans="1:4" x14ac:dyDescent="0.25">
      <c r="A48" s="32" t="s">
        <v>887</v>
      </c>
      <c r="B48" s="32" t="s">
        <v>886</v>
      </c>
      <c r="C48" s="32" t="s">
        <v>885</v>
      </c>
    </row>
    <row r="49" spans="1:6" x14ac:dyDescent="0.25">
      <c r="A49" s="32" t="s">
        <v>884</v>
      </c>
      <c r="B49" s="32" t="s">
        <v>878</v>
      </c>
      <c r="C49" s="32" t="s">
        <v>883</v>
      </c>
    </row>
    <row r="50" spans="1:6" x14ac:dyDescent="0.25">
      <c r="A50" s="32" t="s">
        <v>882</v>
      </c>
      <c r="B50" s="32" t="s">
        <v>878</v>
      </c>
      <c r="C50" s="32" t="s">
        <v>868</v>
      </c>
    </row>
    <row r="51" spans="1:6" x14ac:dyDescent="0.25">
      <c r="A51" s="32" t="s">
        <v>881</v>
      </c>
      <c r="B51" s="32" t="s">
        <v>878</v>
      </c>
      <c r="C51" s="32" t="s">
        <v>880</v>
      </c>
    </row>
    <row r="52" spans="1:6" x14ac:dyDescent="0.25">
      <c r="A52" s="32" t="s">
        <v>879</v>
      </c>
      <c r="B52" s="32" t="s">
        <v>878</v>
      </c>
      <c r="C52" s="32" t="s">
        <v>877</v>
      </c>
    </row>
    <row r="53" spans="1:6" x14ac:dyDescent="0.25">
      <c r="A53" s="32" t="s">
        <v>876</v>
      </c>
      <c r="B53" s="32" t="s">
        <v>871</v>
      </c>
      <c r="C53" s="32" t="s">
        <v>754</v>
      </c>
      <c r="E53" s="32" t="s">
        <v>860</v>
      </c>
      <c r="F53" s="32" t="s">
        <v>870</v>
      </c>
    </row>
    <row r="54" spans="1:6" x14ac:dyDescent="0.25">
      <c r="A54" s="32" t="s">
        <v>875</v>
      </c>
      <c r="B54" s="32" t="s">
        <v>871</v>
      </c>
      <c r="C54" s="32" t="s">
        <v>751</v>
      </c>
      <c r="E54" s="32" t="s">
        <v>860</v>
      </c>
      <c r="F54" s="32" t="s">
        <v>870</v>
      </c>
    </row>
    <row r="55" spans="1:6" x14ac:dyDescent="0.25">
      <c r="A55" s="32" t="s">
        <v>874</v>
      </c>
      <c r="B55" s="32" t="s">
        <v>871</v>
      </c>
      <c r="C55" s="32" t="s">
        <v>752</v>
      </c>
      <c r="E55" s="32" t="s">
        <v>860</v>
      </c>
      <c r="F55" s="32" t="s">
        <v>870</v>
      </c>
    </row>
    <row r="56" spans="1:6" x14ac:dyDescent="0.25">
      <c r="A56" s="32" t="s">
        <v>873</v>
      </c>
      <c r="B56" s="32" t="s">
        <v>871</v>
      </c>
      <c r="C56" s="32" t="s">
        <v>753</v>
      </c>
      <c r="E56" s="32" t="s">
        <v>860</v>
      </c>
      <c r="F56" s="32" t="s">
        <v>870</v>
      </c>
    </row>
    <row r="57" spans="1:6" x14ac:dyDescent="0.25">
      <c r="A57" s="32" t="s">
        <v>872</v>
      </c>
      <c r="B57" s="32" t="s">
        <v>871</v>
      </c>
      <c r="C57" s="32" t="s">
        <v>755</v>
      </c>
      <c r="E57" s="32" t="s">
        <v>860</v>
      </c>
      <c r="F57" s="32" t="s">
        <v>870</v>
      </c>
    </row>
    <row r="58" spans="1:6" x14ac:dyDescent="0.25">
      <c r="A58" s="32" t="s">
        <v>869</v>
      </c>
      <c r="B58" s="32" t="s">
        <v>864</v>
      </c>
      <c r="C58" s="32" t="s">
        <v>868</v>
      </c>
    </row>
    <row r="59" spans="1:6" x14ac:dyDescent="0.25">
      <c r="A59" s="32" t="s">
        <v>867</v>
      </c>
      <c r="B59" s="32" t="s">
        <v>864</v>
      </c>
      <c r="C59" s="32" t="s">
        <v>853</v>
      </c>
    </row>
    <row r="60" spans="1:6" x14ac:dyDescent="0.25">
      <c r="A60" s="32" t="s">
        <v>866</v>
      </c>
      <c r="B60" s="32" t="s">
        <v>864</v>
      </c>
      <c r="C60" s="32" t="s">
        <v>856</v>
      </c>
    </row>
    <row r="61" spans="1:6" x14ac:dyDescent="0.25">
      <c r="A61" s="32" t="s">
        <v>865</v>
      </c>
      <c r="B61" s="32" t="s">
        <v>864</v>
      </c>
      <c r="C61" s="32" t="s">
        <v>863</v>
      </c>
    </row>
    <row r="62" spans="1:6" x14ac:dyDescent="0.25">
      <c r="A62" s="32" t="s">
        <v>862</v>
      </c>
      <c r="B62" s="32" t="s">
        <v>861</v>
      </c>
      <c r="C62" s="32" t="s">
        <v>860</v>
      </c>
      <c r="D62" s="32" t="s">
        <v>859</v>
      </c>
    </row>
    <row r="63" spans="1:6" x14ac:dyDescent="0.25">
      <c r="A63" s="32" t="s">
        <v>361</v>
      </c>
      <c r="B63" s="32" t="s">
        <v>858</v>
      </c>
      <c r="C63" s="32" t="s">
        <v>81</v>
      </c>
    </row>
    <row r="64" spans="1:6" x14ac:dyDescent="0.25">
      <c r="A64" s="32" t="s">
        <v>407</v>
      </c>
      <c r="B64" s="32" t="s">
        <v>858</v>
      </c>
      <c r="C64" s="32" t="s">
        <v>101</v>
      </c>
    </row>
    <row r="65" spans="1:3" x14ac:dyDescent="0.25">
      <c r="A65" s="32" t="s">
        <v>191</v>
      </c>
      <c r="B65" s="32" t="s">
        <v>858</v>
      </c>
      <c r="C65" s="32" t="s">
        <v>5</v>
      </c>
    </row>
    <row r="66" spans="1:3" x14ac:dyDescent="0.25">
      <c r="A66" s="32" t="s">
        <v>515</v>
      </c>
      <c r="B66" s="32" t="s">
        <v>858</v>
      </c>
      <c r="C66" s="32" t="s">
        <v>514</v>
      </c>
    </row>
    <row r="67" spans="1:3" x14ac:dyDescent="0.25">
      <c r="A67" s="32" t="s">
        <v>410</v>
      </c>
      <c r="B67" s="32" t="s">
        <v>858</v>
      </c>
      <c r="C67" s="32" t="s">
        <v>102</v>
      </c>
    </row>
    <row r="68" spans="1:3" x14ac:dyDescent="0.25">
      <c r="A68" s="32" t="s">
        <v>194</v>
      </c>
      <c r="B68" s="32" t="s">
        <v>858</v>
      </c>
      <c r="C68" s="32" t="s">
        <v>6</v>
      </c>
    </row>
    <row r="69" spans="1:3" x14ac:dyDescent="0.25">
      <c r="A69" s="32" t="s">
        <v>519</v>
      </c>
      <c r="B69" s="32" t="s">
        <v>858</v>
      </c>
      <c r="C69" s="32" t="s">
        <v>518</v>
      </c>
    </row>
    <row r="70" spans="1:3" x14ac:dyDescent="0.25">
      <c r="A70" s="32" t="s">
        <v>289</v>
      </c>
      <c r="B70" s="32" t="s">
        <v>858</v>
      </c>
      <c r="C70" s="32" t="s">
        <v>47</v>
      </c>
    </row>
    <row r="71" spans="1:3" x14ac:dyDescent="0.25">
      <c r="A71" s="32" t="s">
        <v>292</v>
      </c>
      <c r="B71" s="32" t="s">
        <v>858</v>
      </c>
      <c r="C71" s="32" t="s">
        <v>48</v>
      </c>
    </row>
    <row r="72" spans="1:3" x14ac:dyDescent="0.25">
      <c r="A72" s="32" t="s">
        <v>412</v>
      </c>
      <c r="B72" s="32" t="s">
        <v>858</v>
      </c>
      <c r="C72" s="32" t="s">
        <v>103</v>
      </c>
    </row>
    <row r="73" spans="1:3" x14ac:dyDescent="0.25">
      <c r="A73" s="32" t="s">
        <v>522</v>
      </c>
      <c r="B73" s="32" t="s">
        <v>858</v>
      </c>
      <c r="C73" s="32" t="s">
        <v>521</v>
      </c>
    </row>
    <row r="74" spans="1:3" x14ac:dyDescent="0.25">
      <c r="A74" s="32" t="s">
        <v>686</v>
      </c>
      <c r="B74" s="32" t="s">
        <v>858</v>
      </c>
      <c r="C74" s="32" t="s">
        <v>162</v>
      </c>
    </row>
    <row r="75" spans="1:3" x14ac:dyDescent="0.25">
      <c r="A75" s="32" t="s">
        <v>414</v>
      </c>
      <c r="B75" s="32" t="s">
        <v>858</v>
      </c>
      <c r="C75" s="32" t="s">
        <v>104</v>
      </c>
    </row>
    <row r="76" spans="1:3" x14ac:dyDescent="0.25">
      <c r="A76" s="32" t="s">
        <v>416</v>
      </c>
      <c r="B76" s="32" t="s">
        <v>858</v>
      </c>
      <c r="C76" s="32" t="s">
        <v>105</v>
      </c>
    </row>
    <row r="77" spans="1:3" x14ac:dyDescent="0.25">
      <c r="A77" s="32" t="s">
        <v>295</v>
      </c>
      <c r="B77" s="32" t="s">
        <v>858</v>
      </c>
      <c r="C77" s="32" t="s">
        <v>294</v>
      </c>
    </row>
    <row r="78" spans="1:3" x14ac:dyDescent="0.25">
      <c r="A78" s="32" t="s">
        <v>364</v>
      </c>
      <c r="B78" s="32" t="s">
        <v>858</v>
      </c>
      <c r="C78" s="32" t="s">
        <v>82</v>
      </c>
    </row>
    <row r="79" spans="1:3" x14ac:dyDescent="0.25">
      <c r="A79" s="32" t="s">
        <v>779</v>
      </c>
      <c r="B79" s="32" t="s">
        <v>858</v>
      </c>
      <c r="C79" s="32" t="s">
        <v>151</v>
      </c>
    </row>
    <row r="80" spans="1:3" x14ac:dyDescent="0.25">
      <c r="A80" s="32" t="s">
        <v>297</v>
      </c>
      <c r="B80" s="32" t="s">
        <v>858</v>
      </c>
      <c r="C80" s="32" t="s">
        <v>49</v>
      </c>
    </row>
    <row r="81" spans="1:3" x14ac:dyDescent="0.25">
      <c r="A81" s="32" t="s">
        <v>418</v>
      </c>
      <c r="B81" s="32" t="s">
        <v>858</v>
      </c>
      <c r="C81" s="32" t="s">
        <v>106</v>
      </c>
    </row>
    <row r="82" spans="1:3" x14ac:dyDescent="0.25">
      <c r="A82" s="32" t="s">
        <v>420</v>
      </c>
      <c r="B82" s="32" t="s">
        <v>858</v>
      </c>
      <c r="C82" s="32" t="s">
        <v>107</v>
      </c>
    </row>
    <row r="83" spans="1:3" x14ac:dyDescent="0.25">
      <c r="A83" s="32" t="s">
        <v>299</v>
      </c>
      <c r="B83" s="32" t="s">
        <v>858</v>
      </c>
      <c r="C83" s="32" t="s">
        <v>50</v>
      </c>
    </row>
    <row r="84" spans="1:3" x14ac:dyDescent="0.25">
      <c r="A84" s="32" t="s">
        <v>8</v>
      </c>
      <c r="B84" s="32" t="s">
        <v>858</v>
      </c>
      <c r="C84" s="32" t="s">
        <v>7</v>
      </c>
    </row>
    <row r="85" spans="1:3" x14ac:dyDescent="0.25">
      <c r="A85" s="32" t="s">
        <v>525</v>
      </c>
      <c r="B85" s="32" t="s">
        <v>858</v>
      </c>
      <c r="C85" s="32" t="s">
        <v>524</v>
      </c>
    </row>
    <row r="86" spans="1:3" x14ac:dyDescent="0.25">
      <c r="A86" s="32" t="s">
        <v>666</v>
      </c>
      <c r="B86" s="32" t="s">
        <v>858</v>
      </c>
      <c r="C86" s="32" t="s">
        <v>152</v>
      </c>
    </row>
    <row r="87" spans="1:3" x14ac:dyDescent="0.25">
      <c r="A87" s="32" t="s">
        <v>301</v>
      </c>
      <c r="B87" s="32" t="s">
        <v>858</v>
      </c>
      <c r="C87" s="32" t="s">
        <v>51</v>
      </c>
    </row>
    <row r="88" spans="1:3" x14ac:dyDescent="0.25">
      <c r="A88" s="32" t="s">
        <v>528</v>
      </c>
      <c r="B88" s="32" t="s">
        <v>858</v>
      </c>
      <c r="C88" s="32" t="s">
        <v>527</v>
      </c>
    </row>
    <row r="89" spans="1:3" x14ac:dyDescent="0.25">
      <c r="A89" s="32" t="s">
        <v>422</v>
      </c>
      <c r="B89" s="32" t="s">
        <v>858</v>
      </c>
      <c r="C89" s="32" t="s">
        <v>108</v>
      </c>
    </row>
    <row r="90" spans="1:3" x14ac:dyDescent="0.25">
      <c r="A90" s="32" t="s">
        <v>197</v>
      </c>
      <c r="B90" s="32" t="s">
        <v>858</v>
      </c>
      <c r="C90" s="32" t="s">
        <v>9</v>
      </c>
    </row>
    <row r="91" spans="1:3" x14ac:dyDescent="0.25">
      <c r="A91" s="32" t="s">
        <v>781</v>
      </c>
      <c r="B91" s="32" t="s">
        <v>858</v>
      </c>
      <c r="C91" s="32" t="s">
        <v>780</v>
      </c>
    </row>
    <row r="92" spans="1:3" x14ac:dyDescent="0.25">
      <c r="A92" s="32" t="s">
        <v>303</v>
      </c>
      <c r="B92" s="32" t="s">
        <v>858</v>
      </c>
      <c r="C92" s="32" t="s">
        <v>52</v>
      </c>
    </row>
    <row r="93" spans="1:3" x14ac:dyDescent="0.25">
      <c r="A93" s="32" t="s">
        <v>784</v>
      </c>
      <c r="B93" s="32" t="s">
        <v>858</v>
      </c>
      <c r="C93" s="32" t="s">
        <v>783</v>
      </c>
    </row>
    <row r="94" spans="1:3" x14ac:dyDescent="0.25">
      <c r="A94" s="32" t="s">
        <v>531</v>
      </c>
      <c r="B94" s="32" t="s">
        <v>858</v>
      </c>
      <c r="C94" s="32" t="s">
        <v>530</v>
      </c>
    </row>
    <row r="95" spans="1:3" x14ac:dyDescent="0.25">
      <c r="A95" s="32" t="s">
        <v>689</v>
      </c>
      <c r="B95" s="32" t="s">
        <v>858</v>
      </c>
      <c r="C95" s="32" t="s">
        <v>163</v>
      </c>
    </row>
    <row r="96" spans="1:3" x14ac:dyDescent="0.25">
      <c r="A96" s="32" t="s">
        <v>424</v>
      </c>
      <c r="B96" s="32" t="s">
        <v>858</v>
      </c>
      <c r="C96" s="32" t="s">
        <v>109</v>
      </c>
    </row>
    <row r="97" spans="1:3" x14ac:dyDescent="0.25">
      <c r="A97" s="32" t="s">
        <v>199</v>
      </c>
      <c r="B97" s="32" t="s">
        <v>858</v>
      </c>
      <c r="C97" s="32" t="s">
        <v>10</v>
      </c>
    </row>
    <row r="98" spans="1:3" x14ac:dyDescent="0.25">
      <c r="A98" s="32" t="s">
        <v>201</v>
      </c>
      <c r="B98" s="32" t="s">
        <v>858</v>
      </c>
      <c r="C98" s="32" t="s">
        <v>11</v>
      </c>
    </row>
    <row r="99" spans="1:3" x14ac:dyDescent="0.25">
      <c r="A99" s="32" t="s">
        <v>204</v>
      </c>
      <c r="B99" s="32" t="s">
        <v>858</v>
      </c>
      <c r="C99" s="32" t="s">
        <v>203</v>
      </c>
    </row>
    <row r="100" spans="1:3" x14ac:dyDescent="0.25">
      <c r="A100" s="32" t="s">
        <v>691</v>
      </c>
      <c r="B100" s="32" t="s">
        <v>858</v>
      </c>
      <c r="C100" s="32" t="s">
        <v>164</v>
      </c>
    </row>
    <row r="101" spans="1:3" x14ac:dyDescent="0.25">
      <c r="A101" s="32" t="s">
        <v>206</v>
      </c>
      <c r="B101" s="32" t="s">
        <v>858</v>
      </c>
      <c r="C101" s="32" t="s">
        <v>12</v>
      </c>
    </row>
    <row r="102" spans="1:3" x14ac:dyDescent="0.25">
      <c r="A102" s="32" t="s">
        <v>305</v>
      </c>
      <c r="B102" s="32" t="s">
        <v>858</v>
      </c>
      <c r="C102" s="32" t="s">
        <v>53</v>
      </c>
    </row>
    <row r="103" spans="1:3" x14ac:dyDescent="0.25">
      <c r="A103" s="32" t="s">
        <v>534</v>
      </c>
      <c r="B103" s="32" t="s">
        <v>858</v>
      </c>
      <c r="C103" s="32" t="s">
        <v>533</v>
      </c>
    </row>
    <row r="104" spans="1:3" x14ac:dyDescent="0.25">
      <c r="A104" s="32" t="s">
        <v>208</v>
      </c>
      <c r="B104" s="32" t="s">
        <v>858</v>
      </c>
      <c r="C104" s="32" t="s">
        <v>13</v>
      </c>
    </row>
    <row r="105" spans="1:3" x14ac:dyDescent="0.25">
      <c r="A105" s="32" t="s">
        <v>210</v>
      </c>
      <c r="B105" s="32" t="s">
        <v>858</v>
      </c>
      <c r="C105" s="32" t="s">
        <v>14</v>
      </c>
    </row>
    <row r="106" spans="1:3" x14ac:dyDescent="0.25">
      <c r="A106" s="32" t="s">
        <v>307</v>
      </c>
      <c r="B106" s="32" t="s">
        <v>858</v>
      </c>
      <c r="C106" s="32" t="s">
        <v>54</v>
      </c>
    </row>
    <row r="107" spans="1:3" x14ac:dyDescent="0.25">
      <c r="A107" s="32" t="s">
        <v>694</v>
      </c>
      <c r="B107" s="32" t="s">
        <v>858</v>
      </c>
      <c r="C107" s="32" t="s">
        <v>693</v>
      </c>
    </row>
    <row r="108" spans="1:3" x14ac:dyDescent="0.25">
      <c r="A108" s="32" t="s">
        <v>536</v>
      </c>
      <c r="B108" s="32" t="s">
        <v>858</v>
      </c>
      <c r="C108" s="32" t="s">
        <v>786</v>
      </c>
    </row>
    <row r="109" spans="1:3" x14ac:dyDescent="0.25">
      <c r="A109" s="32" t="s">
        <v>538</v>
      </c>
      <c r="B109" s="32" t="s">
        <v>858</v>
      </c>
      <c r="C109" s="32" t="s">
        <v>787</v>
      </c>
    </row>
    <row r="110" spans="1:3" x14ac:dyDescent="0.25">
      <c r="A110" s="32" t="s">
        <v>789</v>
      </c>
      <c r="B110" s="32" t="s">
        <v>858</v>
      </c>
      <c r="C110" s="32" t="s">
        <v>788</v>
      </c>
    </row>
    <row r="111" spans="1:3" x14ac:dyDescent="0.25">
      <c r="A111" s="32" t="s">
        <v>541</v>
      </c>
      <c r="B111" s="32" t="s">
        <v>858</v>
      </c>
      <c r="C111" s="32" t="s">
        <v>540</v>
      </c>
    </row>
    <row r="112" spans="1:3" x14ac:dyDescent="0.25">
      <c r="A112" s="32" t="s">
        <v>792</v>
      </c>
      <c r="B112" s="32" t="s">
        <v>858</v>
      </c>
      <c r="C112" s="32" t="s">
        <v>791</v>
      </c>
    </row>
    <row r="113" spans="1:3" x14ac:dyDescent="0.25">
      <c r="A113" s="32" t="s">
        <v>795</v>
      </c>
      <c r="B113" s="32" t="s">
        <v>858</v>
      </c>
      <c r="C113" s="32" t="s">
        <v>794</v>
      </c>
    </row>
    <row r="114" spans="1:3" x14ac:dyDescent="0.25">
      <c r="A114" s="32" t="s">
        <v>309</v>
      </c>
      <c r="B114" s="32" t="s">
        <v>858</v>
      </c>
      <c r="C114" s="32" t="s">
        <v>55</v>
      </c>
    </row>
    <row r="115" spans="1:3" x14ac:dyDescent="0.25">
      <c r="A115" s="32" t="s">
        <v>213</v>
      </c>
      <c r="B115" s="32" t="s">
        <v>858</v>
      </c>
      <c r="C115" s="32" t="s">
        <v>212</v>
      </c>
    </row>
    <row r="116" spans="1:3" x14ac:dyDescent="0.25">
      <c r="A116" s="32" t="s">
        <v>216</v>
      </c>
      <c r="B116" s="32" t="s">
        <v>858</v>
      </c>
      <c r="C116" s="32" t="s">
        <v>215</v>
      </c>
    </row>
    <row r="117" spans="1:3" x14ac:dyDescent="0.25">
      <c r="A117" s="32" t="s">
        <v>696</v>
      </c>
      <c r="B117" s="32" t="s">
        <v>858</v>
      </c>
      <c r="C117" s="32" t="s">
        <v>165</v>
      </c>
    </row>
    <row r="118" spans="1:3" x14ac:dyDescent="0.25">
      <c r="A118" s="32" t="s">
        <v>311</v>
      </c>
      <c r="B118" s="32" t="s">
        <v>858</v>
      </c>
      <c r="C118" s="32" t="s">
        <v>56</v>
      </c>
    </row>
    <row r="119" spans="1:3" x14ac:dyDescent="0.25">
      <c r="A119" s="32" t="s">
        <v>426</v>
      </c>
      <c r="B119" s="32" t="s">
        <v>858</v>
      </c>
      <c r="C119" s="32" t="s">
        <v>110</v>
      </c>
    </row>
    <row r="120" spans="1:3" x14ac:dyDescent="0.25">
      <c r="A120" s="32" t="s">
        <v>313</v>
      </c>
      <c r="B120" s="32" t="s">
        <v>858</v>
      </c>
      <c r="C120" s="32" t="s">
        <v>57</v>
      </c>
    </row>
    <row r="121" spans="1:3" x14ac:dyDescent="0.25">
      <c r="A121" s="32" t="s">
        <v>543</v>
      </c>
      <c r="B121" s="32" t="s">
        <v>858</v>
      </c>
      <c r="C121" s="32" t="s">
        <v>797</v>
      </c>
    </row>
    <row r="122" spans="1:3" x14ac:dyDescent="0.25">
      <c r="A122" s="32" t="s">
        <v>428</v>
      </c>
      <c r="B122" s="32" t="s">
        <v>858</v>
      </c>
      <c r="C122" s="32" t="s">
        <v>111</v>
      </c>
    </row>
    <row r="123" spans="1:3" x14ac:dyDescent="0.25">
      <c r="A123" s="32" t="s">
        <v>430</v>
      </c>
      <c r="B123" s="32" t="s">
        <v>858</v>
      </c>
      <c r="C123" s="32" t="s">
        <v>798</v>
      </c>
    </row>
    <row r="124" spans="1:3" x14ac:dyDescent="0.25">
      <c r="A124" s="32" t="s">
        <v>546</v>
      </c>
      <c r="B124" s="32" t="s">
        <v>858</v>
      </c>
      <c r="C124" s="32" t="s">
        <v>545</v>
      </c>
    </row>
    <row r="125" spans="1:3" x14ac:dyDescent="0.25">
      <c r="A125" s="32" t="s">
        <v>218</v>
      </c>
      <c r="B125" s="32" t="s">
        <v>858</v>
      </c>
      <c r="C125" s="32" t="s">
        <v>799</v>
      </c>
    </row>
    <row r="126" spans="1:3" x14ac:dyDescent="0.25">
      <c r="A126" s="32" t="s">
        <v>668</v>
      </c>
      <c r="B126" s="32" t="s">
        <v>858</v>
      </c>
      <c r="C126" s="32" t="s">
        <v>153</v>
      </c>
    </row>
    <row r="127" spans="1:3" x14ac:dyDescent="0.25">
      <c r="A127" s="32" t="s">
        <v>220</v>
      </c>
      <c r="B127" s="32" t="s">
        <v>858</v>
      </c>
      <c r="C127" s="32" t="s">
        <v>15</v>
      </c>
    </row>
    <row r="128" spans="1:3" x14ac:dyDescent="0.25">
      <c r="A128" s="32" t="s">
        <v>432</v>
      </c>
      <c r="B128" s="32" t="s">
        <v>858</v>
      </c>
      <c r="C128" s="32" t="s">
        <v>112</v>
      </c>
    </row>
    <row r="129" spans="1:3" x14ac:dyDescent="0.25">
      <c r="A129" s="32" t="s">
        <v>366</v>
      </c>
      <c r="B129" s="32" t="s">
        <v>858</v>
      </c>
      <c r="C129" s="32" t="s">
        <v>83</v>
      </c>
    </row>
    <row r="130" spans="1:3" x14ac:dyDescent="0.25">
      <c r="A130" s="32" t="s">
        <v>315</v>
      </c>
      <c r="B130" s="32" t="s">
        <v>858</v>
      </c>
      <c r="C130" s="32" t="s">
        <v>58</v>
      </c>
    </row>
    <row r="131" spans="1:3" x14ac:dyDescent="0.25">
      <c r="A131" s="32" t="s">
        <v>317</v>
      </c>
      <c r="B131" s="32" t="s">
        <v>858</v>
      </c>
      <c r="C131" s="32" t="s">
        <v>59</v>
      </c>
    </row>
    <row r="132" spans="1:3" x14ac:dyDescent="0.25">
      <c r="A132" s="32" t="s">
        <v>319</v>
      </c>
      <c r="B132" s="32" t="s">
        <v>858</v>
      </c>
      <c r="C132" s="32" t="s">
        <v>60</v>
      </c>
    </row>
    <row r="133" spans="1:3" x14ac:dyDescent="0.25">
      <c r="A133" s="32" t="s">
        <v>368</v>
      </c>
      <c r="B133" s="32" t="s">
        <v>858</v>
      </c>
      <c r="C133" s="32" t="s">
        <v>84</v>
      </c>
    </row>
    <row r="134" spans="1:3" x14ac:dyDescent="0.25">
      <c r="A134" s="32" t="s">
        <v>321</v>
      </c>
      <c r="B134" s="32" t="s">
        <v>858</v>
      </c>
      <c r="C134" s="32" t="s">
        <v>61</v>
      </c>
    </row>
    <row r="135" spans="1:3" x14ac:dyDescent="0.25">
      <c r="A135" s="32" t="s">
        <v>222</v>
      </c>
      <c r="B135" s="32" t="s">
        <v>858</v>
      </c>
      <c r="C135" s="32" t="s">
        <v>16</v>
      </c>
    </row>
    <row r="136" spans="1:3" x14ac:dyDescent="0.25">
      <c r="A136" s="32" t="s">
        <v>224</v>
      </c>
      <c r="B136" s="32" t="s">
        <v>858</v>
      </c>
      <c r="C136" s="32" t="s">
        <v>17</v>
      </c>
    </row>
    <row r="137" spans="1:3" x14ac:dyDescent="0.25">
      <c r="A137" s="32" t="s">
        <v>434</v>
      </c>
      <c r="B137" s="32" t="s">
        <v>858</v>
      </c>
      <c r="C137" s="32" t="s">
        <v>113</v>
      </c>
    </row>
    <row r="138" spans="1:3" x14ac:dyDescent="0.25">
      <c r="A138" s="32" t="s">
        <v>277</v>
      </c>
      <c r="B138" s="32" t="s">
        <v>858</v>
      </c>
      <c r="C138" s="32" t="s">
        <v>800</v>
      </c>
    </row>
    <row r="139" spans="1:3" x14ac:dyDescent="0.25">
      <c r="A139" s="32" t="s">
        <v>226</v>
      </c>
      <c r="B139" s="32" t="s">
        <v>858</v>
      </c>
      <c r="C139" s="32" t="s">
        <v>18</v>
      </c>
    </row>
    <row r="140" spans="1:3" x14ac:dyDescent="0.25">
      <c r="A140" s="32" t="s">
        <v>549</v>
      </c>
      <c r="B140" s="32" t="s">
        <v>858</v>
      </c>
      <c r="C140" s="32" t="s">
        <v>548</v>
      </c>
    </row>
    <row r="141" spans="1:3" x14ac:dyDescent="0.25">
      <c r="A141" s="32" t="s">
        <v>552</v>
      </c>
      <c r="B141" s="32" t="s">
        <v>858</v>
      </c>
      <c r="C141" s="32" t="s">
        <v>551</v>
      </c>
    </row>
    <row r="142" spans="1:3" x14ac:dyDescent="0.25">
      <c r="A142" s="32" t="s">
        <v>698</v>
      </c>
      <c r="B142" s="32" t="s">
        <v>858</v>
      </c>
      <c r="C142" s="32" t="s">
        <v>166</v>
      </c>
    </row>
    <row r="143" spans="1:3" x14ac:dyDescent="0.25">
      <c r="A143" s="32" t="s">
        <v>436</v>
      </c>
      <c r="B143" s="32" t="s">
        <v>858</v>
      </c>
      <c r="C143" s="32" t="s">
        <v>114</v>
      </c>
    </row>
    <row r="144" spans="1:3" x14ac:dyDescent="0.25">
      <c r="A144" s="32" t="s">
        <v>438</v>
      </c>
      <c r="B144" s="32" t="s">
        <v>858</v>
      </c>
      <c r="C144" s="32" t="s">
        <v>115</v>
      </c>
    </row>
    <row r="145" spans="1:3" x14ac:dyDescent="0.25">
      <c r="A145" s="32" t="s">
        <v>555</v>
      </c>
      <c r="B145" s="32" t="s">
        <v>858</v>
      </c>
      <c r="C145" s="32" t="s">
        <v>554</v>
      </c>
    </row>
    <row r="146" spans="1:3" x14ac:dyDescent="0.25">
      <c r="A146" s="32" t="s">
        <v>558</v>
      </c>
      <c r="B146" s="32" t="s">
        <v>858</v>
      </c>
      <c r="C146" s="32" t="s">
        <v>557</v>
      </c>
    </row>
    <row r="147" spans="1:3" x14ac:dyDescent="0.25">
      <c r="A147" s="32" t="s">
        <v>802</v>
      </c>
      <c r="B147" s="32" t="s">
        <v>858</v>
      </c>
      <c r="C147" s="32" t="s">
        <v>801</v>
      </c>
    </row>
    <row r="148" spans="1:3" x14ac:dyDescent="0.25">
      <c r="A148" s="32" t="s">
        <v>228</v>
      </c>
      <c r="B148" s="32" t="s">
        <v>858</v>
      </c>
      <c r="C148" s="32" t="s">
        <v>19</v>
      </c>
    </row>
    <row r="149" spans="1:3" x14ac:dyDescent="0.25">
      <c r="A149" s="32" t="s">
        <v>230</v>
      </c>
      <c r="B149" s="32" t="s">
        <v>858</v>
      </c>
      <c r="C149" s="32" t="s">
        <v>20</v>
      </c>
    </row>
    <row r="150" spans="1:3" x14ac:dyDescent="0.25">
      <c r="A150" s="32" t="s">
        <v>440</v>
      </c>
      <c r="B150" s="32" t="s">
        <v>858</v>
      </c>
      <c r="C150" s="32" t="s">
        <v>116</v>
      </c>
    </row>
    <row r="151" spans="1:3" x14ac:dyDescent="0.25">
      <c r="A151" s="32" t="s">
        <v>442</v>
      </c>
      <c r="B151" s="32" t="s">
        <v>858</v>
      </c>
      <c r="C151" s="32" t="s">
        <v>117</v>
      </c>
    </row>
    <row r="152" spans="1:3" x14ac:dyDescent="0.25">
      <c r="A152" s="32" t="s">
        <v>561</v>
      </c>
      <c r="B152" s="32" t="s">
        <v>858</v>
      </c>
      <c r="C152" s="32" t="s">
        <v>560</v>
      </c>
    </row>
    <row r="153" spans="1:3" x14ac:dyDescent="0.25">
      <c r="A153" s="32" t="s">
        <v>564</v>
      </c>
      <c r="B153" s="32" t="s">
        <v>858</v>
      </c>
      <c r="C153" s="32" t="s">
        <v>563</v>
      </c>
    </row>
    <row r="154" spans="1:3" x14ac:dyDescent="0.25">
      <c r="A154" s="32" t="s">
        <v>567</v>
      </c>
      <c r="B154" s="32" t="s">
        <v>858</v>
      </c>
      <c r="C154" s="32" t="s">
        <v>566</v>
      </c>
    </row>
    <row r="155" spans="1:3" x14ac:dyDescent="0.25">
      <c r="A155" s="32" t="s">
        <v>232</v>
      </c>
      <c r="B155" s="32" t="s">
        <v>858</v>
      </c>
      <c r="C155" s="32" t="s">
        <v>21</v>
      </c>
    </row>
    <row r="156" spans="1:3" x14ac:dyDescent="0.25">
      <c r="A156" s="32" t="s">
        <v>570</v>
      </c>
      <c r="B156" s="32" t="s">
        <v>858</v>
      </c>
      <c r="C156" s="32" t="s">
        <v>569</v>
      </c>
    </row>
    <row r="157" spans="1:3" x14ac:dyDescent="0.25">
      <c r="A157" s="32" t="s">
        <v>444</v>
      </c>
      <c r="B157" s="32" t="s">
        <v>858</v>
      </c>
      <c r="C157" s="32" t="s">
        <v>118</v>
      </c>
    </row>
    <row r="158" spans="1:3" x14ac:dyDescent="0.25">
      <c r="A158" s="32" t="s">
        <v>573</v>
      </c>
      <c r="B158" s="32" t="s">
        <v>858</v>
      </c>
      <c r="C158" s="32" t="s">
        <v>572</v>
      </c>
    </row>
    <row r="159" spans="1:3" x14ac:dyDescent="0.25">
      <c r="A159" s="32" t="s">
        <v>323</v>
      </c>
      <c r="B159" s="32" t="s">
        <v>858</v>
      </c>
      <c r="C159" s="32" t="s">
        <v>62</v>
      </c>
    </row>
    <row r="160" spans="1:3" x14ac:dyDescent="0.25">
      <c r="A160" s="32" t="s">
        <v>576</v>
      </c>
      <c r="B160" s="32" t="s">
        <v>858</v>
      </c>
      <c r="C160" s="32" t="s">
        <v>575</v>
      </c>
    </row>
    <row r="161" spans="1:3" x14ac:dyDescent="0.25">
      <c r="A161" s="32" t="s">
        <v>579</v>
      </c>
      <c r="B161" s="32" t="s">
        <v>858</v>
      </c>
      <c r="C161" s="32" t="s">
        <v>578</v>
      </c>
    </row>
    <row r="162" spans="1:3" x14ac:dyDescent="0.25">
      <c r="A162" s="32" t="s">
        <v>325</v>
      </c>
      <c r="B162" s="32" t="s">
        <v>858</v>
      </c>
      <c r="C162" s="32" t="s">
        <v>63</v>
      </c>
    </row>
    <row r="163" spans="1:3" x14ac:dyDescent="0.25">
      <c r="A163" s="32" t="s">
        <v>805</v>
      </c>
      <c r="B163" s="32" t="s">
        <v>858</v>
      </c>
      <c r="C163" s="32" t="s">
        <v>804</v>
      </c>
    </row>
    <row r="164" spans="1:3" x14ac:dyDescent="0.25">
      <c r="A164" s="32" t="s">
        <v>234</v>
      </c>
      <c r="B164" s="32" t="s">
        <v>858</v>
      </c>
      <c r="C164" s="32" t="s">
        <v>22</v>
      </c>
    </row>
    <row r="165" spans="1:3" x14ac:dyDescent="0.25">
      <c r="A165" s="32" t="s">
        <v>236</v>
      </c>
      <c r="B165" s="32" t="s">
        <v>858</v>
      </c>
      <c r="C165" s="32" t="s">
        <v>23</v>
      </c>
    </row>
    <row r="166" spans="1:3" x14ac:dyDescent="0.25">
      <c r="A166" s="32" t="s">
        <v>327</v>
      </c>
      <c r="B166" s="32" t="s">
        <v>858</v>
      </c>
      <c r="C166" s="32" t="s">
        <v>64</v>
      </c>
    </row>
    <row r="167" spans="1:3" x14ac:dyDescent="0.25">
      <c r="A167" s="32" t="s">
        <v>329</v>
      </c>
      <c r="B167" s="32" t="s">
        <v>858</v>
      </c>
      <c r="C167" s="32" t="s">
        <v>65</v>
      </c>
    </row>
    <row r="168" spans="1:3" x14ac:dyDescent="0.25">
      <c r="A168" s="32" t="s">
        <v>808</v>
      </c>
      <c r="B168" s="32" t="s">
        <v>858</v>
      </c>
      <c r="C168" s="32" t="s">
        <v>807</v>
      </c>
    </row>
    <row r="169" spans="1:3" x14ac:dyDescent="0.25">
      <c r="A169" s="32" t="s">
        <v>811</v>
      </c>
      <c r="B169" s="32" t="s">
        <v>858</v>
      </c>
      <c r="C169" s="32" t="s">
        <v>810</v>
      </c>
    </row>
    <row r="170" spans="1:3" x14ac:dyDescent="0.25">
      <c r="A170" s="32" t="s">
        <v>331</v>
      </c>
      <c r="B170" s="32" t="s">
        <v>858</v>
      </c>
      <c r="C170" s="32" t="s">
        <v>66</v>
      </c>
    </row>
    <row r="171" spans="1:3" x14ac:dyDescent="0.25">
      <c r="A171" s="32" t="s">
        <v>446</v>
      </c>
      <c r="B171" s="32" t="s">
        <v>858</v>
      </c>
      <c r="C171" s="32" t="s">
        <v>119</v>
      </c>
    </row>
    <row r="172" spans="1:3" x14ac:dyDescent="0.25">
      <c r="A172" s="32" t="s">
        <v>448</v>
      </c>
      <c r="B172" s="32" t="s">
        <v>858</v>
      </c>
      <c r="C172" s="32" t="s">
        <v>120</v>
      </c>
    </row>
    <row r="173" spans="1:3" x14ac:dyDescent="0.25">
      <c r="A173" s="32" t="s">
        <v>670</v>
      </c>
      <c r="B173" s="32" t="s">
        <v>858</v>
      </c>
      <c r="C173" s="32" t="s">
        <v>154</v>
      </c>
    </row>
    <row r="174" spans="1:3" x14ac:dyDescent="0.25">
      <c r="A174" s="32" t="s">
        <v>672</v>
      </c>
      <c r="B174" s="32" t="s">
        <v>858</v>
      </c>
      <c r="C174" s="32" t="s">
        <v>155</v>
      </c>
    </row>
    <row r="175" spans="1:3" x14ac:dyDescent="0.25">
      <c r="A175" s="32" t="s">
        <v>370</v>
      </c>
      <c r="B175" s="32" t="s">
        <v>858</v>
      </c>
      <c r="C175" s="32" t="s">
        <v>85</v>
      </c>
    </row>
    <row r="176" spans="1:3" x14ac:dyDescent="0.25">
      <c r="A176" s="32" t="s">
        <v>372</v>
      </c>
      <c r="B176" s="32" t="s">
        <v>858</v>
      </c>
      <c r="C176" s="32" t="s">
        <v>86</v>
      </c>
    </row>
    <row r="177" spans="1:3" x14ac:dyDescent="0.25">
      <c r="A177" s="32" t="s">
        <v>450</v>
      </c>
      <c r="B177" s="32" t="s">
        <v>858</v>
      </c>
      <c r="C177" s="32" t="s">
        <v>121</v>
      </c>
    </row>
    <row r="178" spans="1:3" x14ac:dyDescent="0.25">
      <c r="A178" s="32" t="s">
        <v>814</v>
      </c>
      <c r="B178" s="32" t="s">
        <v>858</v>
      </c>
      <c r="C178" s="32" t="s">
        <v>813</v>
      </c>
    </row>
    <row r="179" spans="1:3" x14ac:dyDescent="0.25">
      <c r="A179" s="32" t="s">
        <v>452</v>
      </c>
      <c r="B179" s="32" t="s">
        <v>858</v>
      </c>
      <c r="C179" s="32" t="s">
        <v>122</v>
      </c>
    </row>
    <row r="180" spans="1:3" x14ac:dyDescent="0.25">
      <c r="A180" s="32" t="s">
        <v>454</v>
      </c>
      <c r="B180" s="32" t="s">
        <v>858</v>
      </c>
      <c r="C180" s="32" t="s">
        <v>123</v>
      </c>
    </row>
    <row r="181" spans="1:3" x14ac:dyDescent="0.25">
      <c r="A181" s="32" t="s">
        <v>333</v>
      </c>
      <c r="B181" s="32" t="s">
        <v>858</v>
      </c>
      <c r="C181" s="32" t="s">
        <v>67</v>
      </c>
    </row>
    <row r="182" spans="1:3" x14ac:dyDescent="0.25">
      <c r="A182" s="32" t="s">
        <v>700</v>
      </c>
      <c r="B182" s="32" t="s">
        <v>858</v>
      </c>
      <c r="C182" s="32" t="s">
        <v>167</v>
      </c>
    </row>
    <row r="183" spans="1:3" x14ac:dyDescent="0.25">
      <c r="A183" s="32" t="s">
        <v>817</v>
      </c>
      <c r="B183" s="32" t="s">
        <v>858</v>
      </c>
      <c r="C183" s="32" t="s">
        <v>816</v>
      </c>
    </row>
    <row r="184" spans="1:3" x14ac:dyDescent="0.25">
      <c r="A184" s="32" t="s">
        <v>374</v>
      </c>
      <c r="B184" s="32" t="s">
        <v>858</v>
      </c>
      <c r="C184" s="32" t="s">
        <v>87</v>
      </c>
    </row>
    <row r="185" spans="1:3" x14ac:dyDescent="0.25">
      <c r="A185" s="32" t="s">
        <v>456</v>
      </c>
      <c r="B185" s="32" t="s">
        <v>858</v>
      </c>
      <c r="C185" s="32" t="s">
        <v>124</v>
      </c>
    </row>
    <row r="186" spans="1:3" x14ac:dyDescent="0.25">
      <c r="A186" s="32" t="s">
        <v>238</v>
      </c>
      <c r="B186" s="32" t="s">
        <v>858</v>
      </c>
      <c r="C186" s="32" t="s">
        <v>24</v>
      </c>
    </row>
    <row r="187" spans="1:3" x14ac:dyDescent="0.25">
      <c r="A187" s="32" t="s">
        <v>702</v>
      </c>
      <c r="B187" s="32" t="s">
        <v>858</v>
      </c>
      <c r="C187" s="32" t="s">
        <v>168</v>
      </c>
    </row>
    <row r="188" spans="1:3" x14ac:dyDescent="0.25">
      <c r="A188" s="32" t="s">
        <v>376</v>
      </c>
      <c r="B188" s="32" t="s">
        <v>858</v>
      </c>
      <c r="C188" s="32" t="s">
        <v>88</v>
      </c>
    </row>
    <row r="189" spans="1:3" x14ac:dyDescent="0.25">
      <c r="A189" s="32" t="s">
        <v>458</v>
      </c>
      <c r="B189" s="32" t="s">
        <v>858</v>
      </c>
      <c r="C189" s="32" t="s">
        <v>125</v>
      </c>
    </row>
    <row r="190" spans="1:3" x14ac:dyDescent="0.25">
      <c r="A190" s="32" t="s">
        <v>704</v>
      </c>
      <c r="B190" s="32" t="s">
        <v>858</v>
      </c>
      <c r="C190" s="32" t="s">
        <v>169</v>
      </c>
    </row>
    <row r="191" spans="1:3" x14ac:dyDescent="0.25">
      <c r="A191" s="32" t="s">
        <v>460</v>
      </c>
      <c r="B191" s="32" t="s">
        <v>858</v>
      </c>
      <c r="C191" s="32" t="s">
        <v>126</v>
      </c>
    </row>
    <row r="192" spans="1:3" x14ac:dyDescent="0.25">
      <c r="A192" s="32" t="s">
        <v>378</v>
      </c>
      <c r="B192" s="32" t="s">
        <v>858</v>
      </c>
      <c r="C192" s="32" t="s">
        <v>89</v>
      </c>
    </row>
    <row r="193" spans="1:3" x14ac:dyDescent="0.25">
      <c r="A193" s="32" t="s">
        <v>240</v>
      </c>
      <c r="B193" s="32" t="s">
        <v>858</v>
      </c>
      <c r="C193" s="32" t="s">
        <v>25</v>
      </c>
    </row>
    <row r="194" spans="1:3" x14ac:dyDescent="0.25">
      <c r="A194" s="32" t="s">
        <v>242</v>
      </c>
      <c r="B194" s="32" t="s">
        <v>858</v>
      </c>
      <c r="C194" s="32" t="s">
        <v>26</v>
      </c>
    </row>
    <row r="195" spans="1:3" x14ac:dyDescent="0.25">
      <c r="A195" s="32" t="s">
        <v>381</v>
      </c>
      <c r="B195" s="32" t="s">
        <v>858</v>
      </c>
      <c r="C195" s="32" t="s">
        <v>380</v>
      </c>
    </row>
    <row r="196" spans="1:3" x14ac:dyDescent="0.25">
      <c r="A196" s="32" t="s">
        <v>582</v>
      </c>
      <c r="B196" s="32" t="s">
        <v>858</v>
      </c>
      <c r="C196" s="32" t="s">
        <v>581</v>
      </c>
    </row>
    <row r="197" spans="1:3" x14ac:dyDescent="0.25">
      <c r="A197" s="32" t="s">
        <v>462</v>
      </c>
      <c r="B197" s="32" t="s">
        <v>858</v>
      </c>
      <c r="C197" s="32" t="s">
        <v>127</v>
      </c>
    </row>
    <row r="198" spans="1:3" x14ac:dyDescent="0.25">
      <c r="A198" s="32" t="s">
        <v>464</v>
      </c>
      <c r="B198" s="32" t="s">
        <v>858</v>
      </c>
      <c r="C198" s="32" t="s">
        <v>128</v>
      </c>
    </row>
    <row r="199" spans="1:3" x14ac:dyDescent="0.25">
      <c r="A199" s="32" t="s">
        <v>244</v>
      </c>
      <c r="B199" s="32" t="s">
        <v>858</v>
      </c>
      <c r="C199" s="32" t="s">
        <v>27</v>
      </c>
    </row>
    <row r="200" spans="1:3" x14ac:dyDescent="0.25">
      <c r="A200" s="32" t="s">
        <v>246</v>
      </c>
      <c r="B200" s="32" t="s">
        <v>858</v>
      </c>
      <c r="C200" s="32" t="s">
        <v>28</v>
      </c>
    </row>
    <row r="201" spans="1:3" x14ac:dyDescent="0.25">
      <c r="A201" s="32" t="s">
        <v>706</v>
      </c>
      <c r="B201" s="32" t="s">
        <v>858</v>
      </c>
      <c r="C201" s="32" t="s">
        <v>170</v>
      </c>
    </row>
    <row r="202" spans="1:3" x14ac:dyDescent="0.25">
      <c r="A202" s="32" t="s">
        <v>674</v>
      </c>
      <c r="B202" s="32" t="s">
        <v>858</v>
      </c>
      <c r="C202" s="32" t="s">
        <v>156</v>
      </c>
    </row>
    <row r="203" spans="1:3" x14ac:dyDescent="0.25">
      <c r="A203" s="32" t="s">
        <v>248</v>
      </c>
      <c r="B203" s="32" t="s">
        <v>858</v>
      </c>
      <c r="C203" s="32" t="s">
        <v>29</v>
      </c>
    </row>
    <row r="204" spans="1:3" x14ac:dyDescent="0.25">
      <c r="A204" s="32" t="s">
        <v>466</v>
      </c>
      <c r="B204" s="32" t="s">
        <v>858</v>
      </c>
      <c r="C204" s="32" t="s">
        <v>129</v>
      </c>
    </row>
    <row r="205" spans="1:3" x14ac:dyDescent="0.25">
      <c r="A205" s="32" t="s">
        <v>708</v>
      </c>
      <c r="B205" s="32" t="s">
        <v>858</v>
      </c>
      <c r="C205" s="32" t="s">
        <v>171</v>
      </c>
    </row>
    <row r="206" spans="1:3" x14ac:dyDescent="0.25">
      <c r="A206" s="32" t="s">
        <v>585</v>
      </c>
      <c r="B206" s="32" t="s">
        <v>858</v>
      </c>
      <c r="C206" s="32" t="s">
        <v>584</v>
      </c>
    </row>
    <row r="207" spans="1:3" x14ac:dyDescent="0.25">
      <c r="A207" s="32" t="s">
        <v>250</v>
      </c>
      <c r="B207" s="32" t="s">
        <v>858</v>
      </c>
      <c r="C207" s="32" t="s">
        <v>30</v>
      </c>
    </row>
    <row r="208" spans="1:3" x14ac:dyDescent="0.25">
      <c r="A208" s="32" t="s">
        <v>252</v>
      </c>
      <c r="B208" s="32" t="s">
        <v>858</v>
      </c>
      <c r="C208" s="32" t="s">
        <v>31</v>
      </c>
    </row>
    <row r="209" spans="1:3" x14ac:dyDescent="0.25">
      <c r="A209" s="32" t="s">
        <v>588</v>
      </c>
      <c r="B209" s="32" t="s">
        <v>858</v>
      </c>
      <c r="C209" s="32" t="s">
        <v>587</v>
      </c>
    </row>
    <row r="210" spans="1:3" x14ac:dyDescent="0.25">
      <c r="A210" s="32" t="s">
        <v>335</v>
      </c>
      <c r="B210" s="32" t="s">
        <v>858</v>
      </c>
      <c r="C210" s="32" t="s">
        <v>68</v>
      </c>
    </row>
    <row r="211" spans="1:3" x14ac:dyDescent="0.25">
      <c r="A211" s="32" t="s">
        <v>710</v>
      </c>
      <c r="B211" s="32" t="s">
        <v>858</v>
      </c>
      <c r="C211" s="32" t="s">
        <v>172</v>
      </c>
    </row>
    <row r="212" spans="1:3" x14ac:dyDescent="0.25">
      <c r="A212" s="32" t="s">
        <v>468</v>
      </c>
      <c r="B212" s="32" t="s">
        <v>858</v>
      </c>
      <c r="C212" s="32" t="s">
        <v>130</v>
      </c>
    </row>
    <row r="213" spans="1:3" x14ac:dyDescent="0.25">
      <c r="A213" s="32" t="s">
        <v>712</v>
      </c>
      <c r="B213" s="32" t="s">
        <v>858</v>
      </c>
      <c r="C213" s="32" t="s">
        <v>173</v>
      </c>
    </row>
    <row r="214" spans="1:3" x14ac:dyDescent="0.25">
      <c r="A214" s="32" t="s">
        <v>470</v>
      </c>
      <c r="B214" s="32" t="s">
        <v>858</v>
      </c>
      <c r="C214" s="32" t="s">
        <v>131</v>
      </c>
    </row>
    <row r="215" spans="1:3" x14ac:dyDescent="0.25">
      <c r="A215" s="32" t="s">
        <v>591</v>
      </c>
      <c r="B215" s="32" t="s">
        <v>858</v>
      </c>
      <c r="C215" s="32" t="s">
        <v>590</v>
      </c>
    </row>
    <row r="216" spans="1:3" x14ac:dyDescent="0.25">
      <c r="A216" s="32" t="s">
        <v>383</v>
      </c>
      <c r="B216" s="32" t="s">
        <v>858</v>
      </c>
      <c r="C216" s="32" t="s">
        <v>90</v>
      </c>
    </row>
    <row r="217" spans="1:3" x14ac:dyDescent="0.25">
      <c r="A217" s="32" t="s">
        <v>254</v>
      </c>
      <c r="B217" s="32" t="s">
        <v>858</v>
      </c>
      <c r="C217" s="32" t="s">
        <v>32</v>
      </c>
    </row>
    <row r="218" spans="1:3" x14ac:dyDescent="0.25">
      <c r="A218" s="32" t="s">
        <v>676</v>
      </c>
      <c r="B218" s="32" t="s">
        <v>858</v>
      </c>
      <c r="C218" s="32" t="s">
        <v>157</v>
      </c>
    </row>
    <row r="219" spans="1:3" x14ac:dyDescent="0.25">
      <c r="A219" s="32" t="s">
        <v>256</v>
      </c>
      <c r="B219" s="32" t="s">
        <v>858</v>
      </c>
      <c r="C219" s="32" t="s">
        <v>33</v>
      </c>
    </row>
    <row r="220" spans="1:3" x14ac:dyDescent="0.25">
      <c r="A220" s="32" t="s">
        <v>714</v>
      </c>
      <c r="B220" s="32" t="s">
        <v>858</v>
      </c>
      <c r="C220" s="32" t="s">
        <v>174</v>
      </c>
    </row>
    <row r="221" spans="1:3" x14ac:dyDescent="0.25">
      <c r="A221" s="32" t="s">
        <v>678</v>
      </c>
      <c r="B221" s="32" t="s">
        <v>858</v>
      </c>
      <c r="C221" s="32" t="s">
        <v>158</v>
      </c>
    </row>
    <row r="222" spans="1:3" x14ac:dyDescent="0.25">
      <c r="A222" s="32" t="s">
        <v>472</v>
      </c>
      <c r="B222" s="32" t="s">
        <v>858</v>
      </c>
      <c r="C222" s="32" t="s">
        <v>132</v>
      </c>
    </row>
    <row r="223" spans="1:3" x14ac:dyDescent="0.25">
      <c r="A223" s="32" t="s">
        <v>594</v>
      </c>
      <c r="B223" s="32" t="s">
        <v>858</v>
      </c>
      <c r="C223" s="32" t="s">
        <v>593</v>
      </c>
    </row>
    <row r="224" spans="1:3" x14ac:dyDescent="0.25">
      <c r="A224" s="32" t="s">
        <v>597</v>
      </c>
      <c r="B224" s="32" t="s">
        <v>858</v>
      </c>
      <c r="C224" s="32" t="s">
        <v>596</v>
      </c>
    </row>
    <row r="225" spans="1:3" x14ac:dyDescent="0.25">
      <c r="A225" s="32" t="s">
        <v>716</v>
      </c>
      <c r="B225" s="32" t="s">
        <v>858</v>
      </c>
      <c r="C225" s="32" t="s">
        <v>175</v>
      </c>
    </row>
    <row r="226" spans="1:3" x14ac:dyDescent="0.25">
      <c r="A226" s="32" t="s">
        <v>337</v>
      </c>
      <c r="B226" s="32" t="s">
        <v>858</v>
      </c>
      <c r="C226" s="32" t="s">
        <v>69</v>
      </c>
    </row>
    <row r="227" spans="1:3" x14ac:dyDescent="0.25">
      <c r="A227" s="32" t="s">
        <v>258</v>
      </c>
      <c r="B227" s="32" t="s">
        <v>858</v>
      </c>
      <c r="C227" s="32" t="s">
        <v>34</v>
      </c>
    </row>
    <row r="228" spans="1:3" x14ac:dyDescent="0.25">
      <c r="A228" s="32" t="s">
        <v>260</v>
      </c>
      <c r="B228" s="32" t="s">
        <v>858</v>
      </c>
      <c r="C228" s="32" t="s">
        <v>35</v>
      </c>
    </row>
    <row r="229" spans="1:3" x14ac:dyDescent="0.25">
      <c r="A229" s="32" t="s">
        <v>718</v>
      </c>
      <c r="B229" s="32" t="s">
        <v>858</v>
      </c>
      <c r="C229" s="32" t="s">
        <v>176</v>
      </c>
    </row>
    <row r="230" spans="1:3" x14ac:dyDescent="0.25">
      <c r="A230" s="32" t="s">
        <v>600</v>
      </c>
      <c r="B230" s="32" t="s">
        <v>858</v>
      </c>
      <c r="C230" s="32" t="s">
        <v>599</v>
      </c>
    </row>
    <row r="231" spans="1:3" x14ac:dyDescent="0.25">
      <c r="A231" s="32" t="s">
        <v>502</v>
      </c>
      <c r="B231" s="32" t="s">
        <v>858</v>
      </c>
      <c r="C231" s="32" t="s">
        <v>819</v>
      </c>
    </row>
    <row r="232" spans="1:3" x14ac:dyDescent="0.25">
      <c r="A232" s="32" t="s">
        <v>603</v>
      </c>
      <c r="B232" s="32" t="s">
        <v>858</v>
      </c>
      <c r="C232" s="32" t="s">
        <v>602</v>
      </c>
    </row>
    <row r="233" spans="1:3" x14ac:dyDescent="0.25">
      <c r="A233" s="32" t="s">
        <v>474</v>
      </c>
      <c r="B233" s="32" t="s">
        <v>858</v>
      </c>
      <c r="C233" s="32" t="s">
        <v>133</v>
      </c>
    </row>
    <row r="234" spans="1:3" x14ac:dyDescent="0.25">
      <c r="A234" s="32" t="s">
        <v>385</v>
      </c>
      <c r="B234" s="32" t="s">
        <v>858</v>
      </c>
      <c r="C234" s="32" t="s">
        <v>91</v>
      </c>
    </row>
    <row r="235" spans="1:3" x14ac:dyDescent="0.25">
      <c r="A235" s="32" t="s">
        <v>387</v>
      </c>
      <c r="B235" s="32" t="s">
        <v>858</v>
      </c>
      <c r="C235" s="32" t="s">
        <v>92</v>
      </c>
    </row>
    <row r="236" spans="1:3" x14ac:dyDescent="0.25">
      <c r="A236" s="32" t="s">
        <v>721</v>
      </c>
      <c r="B236" s="32" t="s">
        <v>858</v>
      </c>
      <c r="C236" s="32" t="s">
        <v>720</v>
      </c>
    </row>
    <row r="237" spans="1:3" x14ac:dyDescent="0.25">
      <c r="A237" s="32" t="s">
        <v>339</v>
      </c>
      <c r="B237" s="32" t="s">
        <v>858</v>
      </c>
      <c r="C237" s="32" t="s">
        <v>70</v>
      </c>
    </row>
    <row r="238" spans="1:3" x14ac:dyDescent="0.25">
      <c r="A238" s="32" t="s">
        <v>723</v>
      </c>
      <c r="B238" s="32" t="s">
        <v>858</v>
      </c>
      <c r="C238" s="32" t="s">
        <v>177</v>
      </c>
    </row>
    <row r="239" spans="1:3" x14ac:dyDescent="0.25">
      <c r="A239" s="32" t="s">
        <v>341</v>
      </c>
      <c r="B239" s="32" t="s">
        <v>858</v>
      </c>
      <c r="C239" s="32" t="s">
        <v>71</v>
      </c>
    </row>
    <row r="240" spans="1:3" x14ac:dyDescent="0.25">
      <c r="A240" s="32" t="s">
        <v>343</v>
      </c>
      <c r="B240" s="32" t="s">
        <v>858</v>
      </c>
      <c r="C240" s="32" t="s">
        <v>72</v>
      </c>
    </row>
    <row r="241" spans="1:3" x14ac:dyDescent="0.25">
      <c r="A241" s="32" t="s">
        <v>725</v>
      </c>
      <c r="B241" s="32" t="s">
        <v>858</v>
      </c>
      <c r="C241" s="32" t="s">
        <v>178</v>
      </c>
    </row>
    <row r="242" spans="1:3" x14ac:dyDescent="0.25">
      <c r="A242" s="32" t="s">
        <v>605</v>
      </c>
      <c r="B242" s="32" t="s">
        <v>858</v>
      </c>
      <c r="C242" s="32" t="s">
        <v>820</v>
      </c>
    </row>
    <row r="243" spans="1:3" x14ac:dyDescent="0.25">
      <c r="A243" s="32" t="s">
        <v>476</v>
      </c>
      <c r="B243" s="32" t="s">
        <v>858</v>
      </c>
      <c r="C243" s="32" t="s">
        <v>134</v>
      </c>
    </row>
    <row r="244" spans="1:3" x14ac:dyDescent="0.25">
      <c r="A244" s="32" t="s">
        <v>478</v>
      </c>
      <c r="B244" s="32" t="s">
        <v>858</v>
      </c>
      <c r="C244" s="32" t="s">
        <v>135</v>
      </c>
    </row>
    <row r="245" spans="1:3" x14ac:dyDescent="0.25">
      <c r="A245" s="32" t="s">
        <v>608</v>
      </c>
      <c r="B245" s="32" t="s">
        <v>858</v>
      </c>
      <c r="C245" s="32" t="s">
        <v>607</v>
      </c>
    </row>
    <row r="246" spans="1:3" x14ac:dyDescent="0.25">
      <c r="A246" s="32" t="s">
        <v>391</v>
      </c>
      <c r="B246" s="32" t="s">
        <v>858</v>
      </c>
      <c r="C246" s="32" t="s">
        <v>93</v>
      </c>
    </row>
    <row r="247" spans="1:3" x14ac:dyDescent="0.25">
      <c r="A247" s="32" t="s">
        <v>727</v>
      </c>
      <c r="B247" s="32" t="s">
        <v>858</v>
      </c>
      <c r="C247" s="32" t="s">
        <v>179</v>
      </c>
    </row>
    <row r="248" spans="1:3" x14ac:dyDescent="0.25">
      <c r="A248" s="32" t="s">
        <v>480</v>
      </c>
      <c r="B248" s="32" t="s">
        <v>858</v>
      </c>
      <c r="C248" s="32" t="s">
        <v>136</v>
      </c>
    </row>
    <row r="249" spans="1:3" x14ac:dyDescent="0.25">
      <c r="A249" s="32" t="s">
        <v>611</v>
      </c>
      <c r="B249" s="32" t="s">
        <v>858</v>
      </c>
      <c r="C249" s="32" t="s">
        <v>610</v>
      </c>
    </row>
    <row r="250" spans="1:3" x14ac:dyDescent="0.25">
      <c r="A250" s="32" t="s">
        <v>482</v>
      </c>
      <c r="B250" s="32" t="s">
        <v>858</v>
      </c>
      <c r="C250" s="32" t="s">
        <v>137</v>
      </c>
    </row>
    <row r="251" spans="1:3" x14ac:dyDescent="0.25">
      <c r="A251" s="32" t="s">
        <v>484</v>
      </c>
      <c r="B251" s="32" t="s">
        <v>858</v>
      </c>
      <c r="C251" s="32" t="s">
        <v>138</v>
      </c>
    </row>
    <row r="252" spans="1:3" x14ac:dyDescent="0.25">
      <c r="A252" s="32" t="s">
        <v>262</v>
      </c>
      <c r="B252" s="32" t="s">
        <v>858</v>
      </c>
      <c r="C252" s="32" t="s">
        <v>36</v>
      </c>
    </row>
    <row r="253" spans="1:3" x14ac:dyDescent="0.25">
      <c r="A253" s="32" t="s">
        <v>616</v>
      </c>
      <c r="B253" s="32" t="s">
        <v>858</v>
      </c>
      <c r="C253" s="32" t="s">
        <v>615</v>
      </c>
    </row>
    <row r="254" spans="1:3" x14ac:dyDescent="0.25">
      <c r="A254" s="32" t="s">
        <v>613</v>
      </c>
      <c r="B254" s="32" t="s">
        <v>858</v>
      </c>
      <c r="C254" s="32" t="s">
        <v>821</v>
      </c>
    </row>
    <row r="255" spans="1:3" x14ac:dyDescent="0.25">
      <c r="A255" s="32" t="s">
        <v>823</v>
      </c>
      <c r="B255" s="32" t="s">
        <v>858</v>
      </c>
      <c r="C255" s="32" t="s">
        <v>822</v>
      </c>
    </row>
    <row r="256" spans="1:3" x14ac:dyDescent="0.25">
      <c r="A256" s="32" t="s">
        <v>619</v>
      </c>
      <c r="B256" s="32" t="s">
        <v>858</v>
      </c>
      <c r="C256" s="32" t="s">
        <v>618</v>
      </c>
    </row>
    <row r="257" spans="1:3" x14ac:dyDescent="0.25">
      <c r="A257" s="32" t="s">
        <v>345</v>
      </c>
      <c r="B257" s="32" t="s">
        <v>858</v>
      </c>
      <c r="C257" s="32" t="s">
        <v>73</v>
      </c>
    </row>
    <row r="258" spans="1:3" x14ac:dyDescent="0.25">
      <c r="A258" s="32" t="s">
        <v>347</v>
      </c>
      <c r="B258" s="32" t="s">
        <v>858</v>
      </c>
      <c r="C258" s="32" t="s">
        <v>74</v>
      </c>
    </row>
    <row r="259" spans="1:3" x14ac:dyDescent="0.25">
      <c r="A259" s="32" t="s">
        <v>826</v>
      </c>
      <c r="B259" s="32" t="s">
        <v>858</v>
      </c>
      <c r="C259" s="32" t="s">
        <v>825</v>
      </c>
    </row>
    <row r="260" spans="1:3" x14ac:dyDescent="0.25">
      <c r="A260" s="32" t="s">
        <v>622</v>
      </c>
      <c r="B260" s="32" t="s">
        <v>858</v>
      </c>
      <c r="C260" s="32" t="s">
        <v>621</v>
      </c>
    </row>
    <row r="261" spans="1:3" x14ac:dyDescent="0.25">
      <c r="A261" s="32" t="s">
        <v>349</v>
      </c>
      <c r="B261" s="32" t="s">
        <v>858</v>
      </c>
      <c r="C261" s="32" t="s">
        <v>75</v>
      </c>
    </row>
    <row r="262" spans="1:3" x14ac:dyDescent="0.25">
      <c r="A262" s="32" t="s">
        <v>729</v>
      </c>
      <c r="B262" s="32" t="s">
        <v>858</v>
      </c>
      <c r="C262" s="32" t="s">
        <v>180</v>
      </c>
    </row>
    <row r="263" spans="1:3" x14ac:dyDescent="0.25">
      <c r="A263" s="32" t="s">
        <v>486</v>
      </c>
      <c r="B263" s="32" t="s">
        <v>858</v>
      </c>
      <c r="C263" s="32" t="s">
        <v>139</v>
      </c>
    </row>
    <row r="264" spans="1:3" x14ac:dyDescent="0.25">
      <c r="A264" s="32" t="s">
        <v>264</v>
      </c>
      <c r="B264" s="32" t="s">
        <v>858</v>
      </c>
      <c r="C264" s="32" t="s">
        <v>37</v>
      </c>
    </row>
    <row r="265" spans="1:3" x14ac:dyDescent="0.25">
      <c r="A265" s="32" t="s">
        <v>393</v>
      </c>
      <c r="B265" s="32" t="s">
        <v>858</v>
      </c>
      <c r="C265" s="32" t="s">
        <v>94</v>
      </c>
    </row>
    <row r="266" spans="1:3" x14ac:dyDescent="0.25">
      <c r="A266" s="32" t="s">
        <v>266</v>
      </c>
      <c r="B266" s="32" t="s">
        <v>858</v>
      </c>
      <c r="C266" s="32" t="s">
        <v>38</v>
      </c>
    </row>
    <row r="267" spans="1:3" x14ac:dyDescent="0.25">
      <c r="A267" s="32" t="s">
        <v>488</v>
      </c>
      <c r="B267" s="32" t="s">
        <v>858</v>
      </c>
      <c r="C267" s="32" t="s">
        <v>140</v>
      </c>
    </row>
    <row r="268" spans="1:3" x14ac:dyDescent="0.25">
      <c r="A268" s="32" t="s">
        <v>625</v>
      </c>
      <c r="B268" s="32" t="s">
        <v>858</v>
      </c>
      <c r="C268" s="32" t="s">
        <v>624</v>
      </c>
    </row>
    <row r="269" spans="1:3" x14ac:dyDescent="0.25">
      <c r="A269" s="32" t="s">
        <v>268</v>
      </c>
      <c r="B269" s="32" t="s">
        <v>858</v>
      </c>
      <c r="C269" s="32" t="s">
        <v>39</v>
      </c>
    </row>
    <row r="270" spans="1:3" x14ac:dyDescent="0.25">
      <c r="A270" s="32" t="s">
        <v>270</v>
      </c>
      <c r="B270" s="32" t="s">
        <v>858</v>
      </c>
      <c r="C270" s="32" t="s">
        <v>40</v>
      </c>
    </row>
    <row r="271" spans="1:3" x14ac:dyDescent="0.25">
      <c r="A271" s="32" t="s">
        <v>731</v>
      </c>
      <c r="B271" s="32" t="s">
        <v>858</v>
      </c>
      <c r="C271" s="32" t="s">
        <v>181</v>
      </c>
    </row>
    <row r="272" spans="1:3" x14ac:dyDescent="0.25">
      <c r="A272" s="32" t="s">
        <v>628</v>
      </c>
      <c r="B272" s="32" t="s">
        <v>858</v>
      </c>
      <c r="C272" s="32" t="s">
        <v>627</v>
      </c>
    </row>
    <row r="273" spans="1:3" x14ac:dyDescent="0.25">
      <c r="A273" s="32" t="s">
        <v>490</v>
      </c>
      <c r="B273" s="32" t="s">
        <v>858</v>
      </c>
      <c r="C273" s="32" t="s">
        <v>141</v>
      </c>
    </row>
    <row r="274" spans="1:3" x14ac:dyDescent="0.25">
      <c r="A274" s="32" t="s">
        <v>492</v>
      </c>
      <c r="B274" s="32" t="s">
        <v>858</v>
      </c>
      <c r="C274" s="32" t="s">
        <v>142</v>
      </c>
    </row>
    <row r="275" spans="1:3" x14ac:dyDescent="0.25">
      <c r="A275" s="32" t="s">
        <v>733</v>
      </c>
      <c r="B275" s="32" t="s">
        <v>858</v>
      </c>
      <c r="C275" s="32" t="s">
        <v>182</v>
      </c>
    </row>
    <row r="276" spans="1:3" x14ac:dyDescent="0.25">
      <c r="A276" s="32" t="s">
        <v>395</v>
      </c>
      <c r="B276" s="32" t="s">
        <v>858</v>
      </c>
      <c r="C276" s="32" t="s">
        <v>95</v>
      </c>
    </row>
    <row r="277" spans="1:3" x14ac:dyDescent="0.25">
      <c r="A277" s="32" t="s">
        <v>272</v>
      </c>
      <c r="B277" s="32" t="s">
        <v>858</v>
      </c>
      <c r="C277" s="32" t="s">
        <v>41</v>
      </c>
    </row>
    <row r="278" spans="1:3" x14ac:dyDescent="0.25">
      <c r="A278" s="32" t="s">
        <v>829</v>
      </c>
      <c r="B278" s="32" t="s">
        <v>858</v>
      </c>
      <c r="C278" s="32" t="s">
        <v>828</v>
      </c>
    </row>
    <row r="279" spans="1:3" x14ac:dyDescent="0.25">
      <c r="A279" s="32" t="s">
        <v>275</v>
      </c>
      <c r="B279" s="32" t="s">
        <v>858</v>
      </c>
      <c r="C279" s="32" t="s">
        <v>274</v>
      </c>
    </row>
    <row r="280" spans="1:3" x14ac:dyDescent="0.25">
      <c r="A280" s="32" t="s">
        <v>494</v>
      </c>
      <c r="B280" s="32" t="s">
        <v>858</v>
      </c>
      <c r="C280" s="32" t="s">
        <v>143</v>
      </c>
    </row>
    <row r="281" spans="1:3" x14ac:dyDescent="0.25">
      <c r="A281" s="32" t="s">
        <v>680</v>
      </c>
      <c r="B281" s="32" t="s">
        <v>858</v>
      </c>
      <c r="C281" s="32" t="s">
        <v>159</v>
      </c>
    </row>
    <row r="282" spans="1:3" x14ac:dyDescent="0.25">
      <c r="A282" s="32" t="s">
        <v>397</v>
      </c>
      <c r="B282" s="32" t="s">
        <v>858</v>
      </c>
      <c r="C282" s="32" t="s">
        <v>96</v>
      </c>
    </row>
    <row r="283" spans="1:3" x14ac:dyDescent="0.25">
      <c r="A283" s="32" t="s">
        <v>631</v>
      </c>
      <c r="B283" s="32" t="s">
        <v>858</v>
      </c>
      <c r="C283" s="32" t="s">
        <v>630</v>
      </c>
    </row>
    <row r="284" spans="1:3" x14ac:dyDescent="0.25">
      <c r="A284" s="32" t="s">
        <v>351</v>
      </c>
      <c r="B284" s="32" t="s">
        <v>858</v>
      </c>
      <c r="C284" s="32" t="s">
        <v>76</v>
      </c>
    </row>
    <row r="285" spans="1:3" x14ac:dyDescent="0.25">
      <c r="A285" s="32" t="s">
        <v>832</v>
      </c>
      <c r="B285" s="32" t="s">
        <v>858</v>
      </c>
      <c r="C285" s="32" t="s">
        <v>831</v>
      </c>
    </row>
    <row r="286" spans="1:3" x14ac:dyDescent="0.25">
      <c r="A286" s="32" t="s">
        <v>496</v>
      </c>
      <c r="B286" s="32" t="s">
        <v>858</v>
      </c>
      <c r="C286" s="32" t="s">
        <v>144</v>
      </c>
    </row>
    <row r="287" spans="1:3" x14ac:dyDescent="0.25">
      <c r="A287" s="32" t="s">
        <v>498</v>
      </c>
      <c r="B287" s="32" t="s">
        <v>858</v>
      </c>
      <c r="C287" s="32" t="s">
        <v>145</v>
      </c>
    </row>
    <row r="288" spans="1:3" x14ac:dyDescent="0.25">
      <c r="A288" s="32" t="s">
        <v>399</v>
      </c>
      <c r="B288" s="32" t="s">
        <v>858</v>
      </c>
      <c r="C288" s="32" t="s">
        <v>97</v>
      </c>
    </row>
    <row r="289" spans="1:3" x14ac:dyDescent="0.25">
      <c r="A289" s="32" t="s">
        <v>500</v>
      </c>
      <c r="B289" s="32" t="s">
        <v>858</v>
      </c>
      <c r="C289" s="32" t="s">
        <v>146</v>
      </c>
    </row>
    <row r="290" spans="1:3" x14ac:dyDescent="0.25">
      <c r="A290" s="32" t="s">
        <v>682</v>
      </c>
      <c r="B290" s="32" t="s">
        <v>858</v>
      </c>
      <c r="C290" s="32" t="s">
        <v>160</v>
      </c>
    </row>
    <row r="291" spans="1:3" x14ac:dyDescent="0.25">
      <c r="A291" s="32" t="s">
        <v>634</v>
      </c>
      <c r="B291" s="32" t="s">
        <v>858</v>
      </c>
      <c r="C291" s="32" t="s">
        <v>633</v>
      </c>
    </row>
    <row r="292" spans="1:3" x14ac:dyDescent="0.25">
      <c r="A292" s="32" t="s">
        <v>684</v>
      </c>
      <c r="B292" s="32" t="s">
        <v>858</v>
      </c>
      <c r="C292" s="32" t="s">
        <v>161</v>
      </c>
    </row>
    <row r="293" spans="1:3" x14ac:dyDescent="0.25">
      <c r="A293" s="32" t="s">
        <v>279</v>
      </c>
      <c r="B293" s="32" t="s">
        <v>858</v>
      </c>
      <c r="C293" s="32" t="s">
        <v>42</v>
      </c>
    </row>
    <row r="294" spans="1:3" x14ac:dyDescent="0.25">
      <c r="A294" s="32" t="s">
        <v>637</v>
      </c>
      <c r="B294" s="32" t="s">
        <v>858</v>
      </c>
      <c r="C294" s="32" t="s">
        <v>636</v>
      </c>
    </row>
    <row r="295" spans="1:3" x14ac:dyDescent="0.25">
      <c r="A295" s="32" t="s">
        <v>735</v>
      </c>
      <c r="B295" s="32" t="s">
        <v>858</v>
      </c>
      <c r="C295" s="32" t="s">
        <v>183</v>
      </c>
    </row>
    <row r="296" spans="1:3" x14ac:dyDescent="0.25">
      <c r="A296" s="32" t="s">
        <v>353</v>
      </c>
      <c r="B296" s="32" t="s">
        <v>858</v>
      </c>
      <c r="C296" s="32" t="s">
        <v>77</v>
      </c>
    </row>
    <row r="297" spans="1:3" x14ac:dyDescent="0.25">
      <c r="A297" s="32" t="s">
        <v>401</v>
      </c>
      <c r="B297" s="32" t="s">
        <v>858</v>
      </c>
      <c r="C297" s="32" t="s">
        <v>98</v>
      </c>
    </row>
    <row r="298" spans="1:3" x14ac:dyDescent="0.25">
      <c r="A298" s="32" t="s">
        <v>504</v>
      </c>
      <c r="B298" s="32" t="s">
        <v>858</v>
      </c>
      <c r="C298" s="32" t="s">
        <v>147</v>
      </c>
    </row>
    <row r="299" spans="1:3" x14ac:dyDescent="0.25">
      <c r="A299" s="32" t="s">
        <v>506</v>
      </c>
      <c r="B299" s="32" t="s">
        <v>858</v>
      </c>
      <c r="C299" s="32" t="s">
        <v>148</v>
      </c>
    </row>
    <row r="300" spans="1:3" x14ac:dyDescent="0.25">
      <c r="A300" s="32" t="s">
        <v>640</v>
      </c>
      <c r="B300" s="32" t="s">
        <v>858</v>
      </c>
      <c r="C300" s="32" t="s">
        <v>639</v>
      </c>
    </row>
    <row r="301" spans="1:3" x14ac:dyDescent="0.25">
      <c r="A301" s="32" t="s">
        <v>737</v>
      </c>
      <c r="B301" s="32" t="s">
        <v>858</v>
      </c>
      <c r="C301" s="32" t="s">
        <v>184</v>
      </c>
    </row>
    <row r="302" spans="1:3" x14ac:dyDescent="0.25">
      <c r="A302" s="32" t="s">
        <v>654</v>
      </c>
      <c r="B302" s="32" t="s">
        <v>858</v>
      </c>
      <c r="C302" s="32" t="s">
        <v>834</v>
      </c>
    </row>
    <row r="303" spans="1:3" x14ac:dyDescent="0.25">
      <c r="A303" s="32" t="s">
        <v>652</v>
      </c>
      <c r="B303" s="32" t="s">
        <v>858</v>
      </c>
      <c r="C303" s="32" t="s">
        <v>651</v>
      </c>
    </row>
    <row r="304" spans="1:3" x14ac:dyDescent="0.25">
      <c r="A304" s="32" t="s">
        <v>281</v>
      </c>
      <c r="B304" s="32" t="s">
        <v>858</v>
      </c>
      <c r="C304" s="32" t="s">
        <v>43</v>
      </c>
    </row>
    <row r="305" spans="1:3" x14ac:dyDescent="0.25">
      <c r="A305" s="32" t="s">
        <v>508</v>
      </c>
      <c r="B305" s="32" t="s">
        <v>858</v>
      </c>
      <c r="C305" s="32" t="s">
        <v>149</v>
      </c>
    </row>
    <row r="306" spans="1:3" x14ac:dyDescent="0.25">
      <c r="A306" s="32" t="s">
        <v>403</v>
      </c>
      <c r="B306" s="32" t="s">
        <v>858</v>
      </c>
      <c r="C306" s="32" t="s">
        <v>99</v>
      </c>
    </row>
    <row r="307" spans="1:3" x14ac:dyDescent="0.25">
      <c r="A307" s="32" t="s">
        <v>510</v>
      </c>
      <c r="B307" s="32" t="s">
        <v>858</v>
      </c>
      <c r="C307" s="32" t="s">
        <v>835</v>
      </c>
    </row>
    <row r="308" spans="1:3" x14ac:dyDescent="0.25">
      <c r="A308" s="32" t="s">
        <v>643</v>
      </c>
      <c r="B308" s="32" t="s">
        <v>858</v>
      </c>
      <c r="C308" s="32" t="s">
        <v>642</v>
      </c>
    </row>
    <row r="309" spans="1:3" x14ac:dyDescent="0.25">
      <c r="A309" s="32" t="s">
        <v>646</v>
      </c>
      <c r="B309" s="32" t="s">
        <v>858</v>
      </c>
      <c r="C309" s="32" t="s">
        <v>645</v>
      </c>
    </row>
    <row r="310" spans="1:3" x14ac:dyDescent="0.25">
      <c r="A310" s="32" t="s">
        <v>649</v>
      </c>
      <c r="B310" s="32" t="s">
        <v>858</v>
      </c>
      <c r="C310" s="32" t="s">
        <v>648</v>
      </c>
    </row>
    <row r="311" spans="1:3" x14ac:dyDescent="0.25">
      <c r="A311" s="32" t="s">
        <v>283</v>
      </c>
      <c r="B311" s="32" t="s">
        <v>858</v>
      </c>
      <c r="C311" s="32" t="s">
        <v>44</v>
      </c>
    </row>
    <row r="312" spans="1:3" x14ac:dyDescent="0.25">
      <c r="A312" s="32" t="s">
        <v>837</v>
      </c>
      <c r="B312" s="32" t="s">
        <v>858</v>
      </c>
      <c r="C312" s="32" t="s">
        <v>836</v>
      </c>
    </row>
    <row r="313" spans="1:3" x14ac:dyDescent="0.25">
      <c r="A313" s="32" t="s">
        <v>355</v>
      </c>
      <c r="B313" s="32" t="s">
        <v>858</v>
      </c>
      <c r="C313" s="32" t="s">
        <v>78</v>
      </c>
    </row>
    <row r="314" spans="1:3" x14ac:dyDescent="0.25">
      <c r="A314" s="32" t="s">
        <v>357</v>
      </c>
      <c r="B314" s="32" t="s">
        <v>858</v>
      </c>
      <c r="C314" s="32" t="s">
        <v>79</v>
      </c>
    </row>
    <row r="315" spans="1:3" x14ac:dyDescent="0.25">
      <c r="A315" s="32" t="s">
        <v>512</v>
      </c>
      <c r="B315" s="32" t="s">
        <v>858</v>
      </c>
      <c r="C315" s="32" t="s">
        <v>150</v>
      </c>
    </row>
    <row r="316" spans="1:3" x14ac:dyDescent="0.25">
      <c r="A316" s="32" t="s">
        <v>739</v>
      </c>
      <c r="B316" s="32" t="s">
        <v>858</v>
      </c>
      <c r="C316" s="32" t="s">
        <v>185</v>
      </c>
    </row>
    <row r="317" spans="1:3" x14ac:dyDescent="0.25">
      <c r="A317" s="32" t="s">
        <v>359</v>
      </c>
      <c r="B317" s="32" t="s">
        <v>858</v>
      </c>
      <c r="C317" s="32" t="s">
        <v>80</v>
      </c>
    </row>
    <row r="318" spans="1:3" x14ac:dyDescent="0.25">
      <c r="A318" s="32" t="s">
        <v>741</v>
      </c>
      <c r="B318" s="32" t="s">
        <v>858</v>
      </c>
      <c r="C318" s="32" t="s">
        <v>186</v>
      </c>
    </row>
    <row r="319" spans="1:3" x14ac:dyDescent="0.25">
      <c r="A319" s="32" t="s">
        <v>656</v>
      </c>
      <c r="B319" s="32" t="s">
        <v>858</v>
      </c>
      <c r="C319" s="32" t="s">
        <v>839</v>
      </c>
    </row>
    <row r="320" spans="1:3" x14ac:dyDescent="0.25">
      <c r="A320" s="32" t="s">
        <v>659</v>
      </c>
      <c r="B320" s="32" t="s">
        <v>858</v>
      </c>
      <c r="C320" s="32" t="s">
        <v>658</v>
      </c>
    </row>
    <row r="321" spans="1:3" x14ac:dyDescent="0.25">
      <c r="A321" s="32" t="s">
        <v>389</v>
      </c>
      <c r="B321" s="32" t="s">
        <v>858</v>
      </c>
      <c r="C321" s="32" t="s">
        <v>840</v>
      </c>
    </row>
    <row r="322" spans="1:3" x14ac:dyDescent="0.25">
      <c r="A322" s="32" t="s">
        <v>842</v>
      </c>
      <c r="B322" s="32" t="s">
        <v>858</v>
      </c>
      <c r="C322" s="32" t="s">
        <v>841</v>
      </c>
    </row>
    <row r="323" spans="1:3" x14ac:dyDescent="0.25">
      <c r="A323" s="32" t="s">
        <v>405</v>
      </c>
      <c r="B323" s="32" t="s">
        <v>858</v>
      </c>
      <c r="C323" s="32" t="s">
        <v>100</v>
      </c>
    </row>
    <row r="324" spans="1:3" x14ac:dyDescent="0.25">
      <c r="A324" s="32" t="s">
        <v>662</v>
      </c>
      <c r="B324" s="32" t="s">
        <v>858</v>
      </c>
      <c r="C324" s="32" t="s">
        <v>661</v>
      </c>
    </row>
    <row r="325" spans="1:3" x14ac:dyDescent="0.25">
      <c r="A325" s="32" t="s">
        <v>285</v>
      </c>
      <c r="B325" s="32" t="s">
        <v>858</v>
      </c>
      <c r="C325" s="32" t="s">
        <v>45</v>
      </c>
    </row>
    <row r="326" spans="1:3" x14ac:dyDescent="0.25">
      <c r="A326" s="32" t="s">
        <v>287</v>
      </c>
      <c r="B326" s="32" t="s">
        <v>858</v>
      </c>
      <c r="C326" s="32" t="s">
        <v>46</v>
      </c>
    </row>
    <row r="327" spans="1:3" x14ac:dyDescent="0.25">
      <c r="A327" s="32" t="s">
        <v>845</v>
      </c>
      <c r="B327" s="32" t="s">
        <v>858</v>
      </c>
      <c r="C327" s="32" t="s">
        <v>844</v>
      </c>
    </row>
    <row r="328" spans="1:3" x14ac:dyDescent="0.25">
      <c r="A328" s="32" t="s">
        <v>857</v>
      </c>
      <c r="B328" s="32" t="s">
        <v>854</v>
      </c>
      <c r="C328" s="32" t="s">
        <v>856</v>
      </c>
    </row>
    <row r="329" spans="1:3" x14ac:dyDescent="0.25">
      <c r="A329" s="32" t="s">
        <v>855</v>
      </c>
      <c r="B329" s="32" t="s">
        <v>854</v>
      </c>
      <c r="C329" s="32" t="s">
        <v>853</v>
      </c>
    </row>
    <row r="330" spans="1:3" x14ac:dyDescent="0.25">
      <c r="A330" s="38" t="s">
        <v>857</v>
      </c>
      <c r="B330" s="32" t="s">
        <v>854</v>
      </c>
      <c r="C330" s="32" t="s">
        <v>990</v>
      </c>
    </row>
    <row r="331" spans="1:3" x14ac:dyDescent="0.25">
      <c r="A331" s="38" t="s">
        <v>855</v>
      </c>
      <c r="B331" s="32" t="s">
        <v>854</v>
      </c>
      <c r="C331" s="32" t="s">
        <v>989</v>
      </c>
    </row>
  </sheetData>
  <sheetProtection algorithmName="SHA-512" hashValue="xGQ5/kMcsR612z/8R3kPYWSp2NSocxcIIh8o9CTnCrH8IUCOlDODWepPAI3pQZbWoUlFgE7AV1NM0pOj/HAkWg==" saltValue="jGgn9vZUPxPc4sXUzgMf7w==" spinCount="100000" sheet="1" objects="1" scenarios="1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324</vt:i4>
      </vt:variant>
    </vt:vector>
  </HeadingPairs>
  <TitlesOfParts>
    <vt:vector size="329" baseType="lpstr">
      <vt:lpstr>M08 - Skill mix composition</vt:lpstr>
      <vt:lpstr>M09 - Governance and policies</vt:lpstr>
      <vt:lpstr>M10 - Information Systems</vt:lpstr>
      <vt:lpstr>Validation</vt:lpstr>
      <vt:lpstr>Metadata</vt:lpstr>
      <vt:lpstr>__false</vt:lpstr>
      <vt:lpstr>__true</vt:lpstr>
      <vt:lpstr>_a0Tb0vzKk1m</vt:lpstr>
      <vt:lpstr>_aAaUMHvUPv1</vt:lpstr>
      <vt:lpstr>_ACalScnrl2I</vt:lpstr>
      <vt:lpstr>_Adzexk8xbzD</vt:lpstr>
      <vt:lpstr>_AFIorEPU00q</vt:lpstr>
      <vt:lpstr>_AJBfDthkySs</vt:lpstr>
      <vt:lpstr>_AjeCGGb8H76</vt:lpstr>
      <vt:lpstr>_Ajnw1b8m6eL</vt:lpstr>
      <vt:lpstr>_AK5r5VIXYOW</vt:lpstr>
      <vt:lpstr>_aNIrqpwcKXv</vt:lpstr>
      <vt:lpstr>_apVWLKfARpb</vt:lpstr>
      <vt:lpstr>_AUStREIxT4s</vt:lpstr>
      <vt:lpstr>_av3fkpFxEXj</vt:lpstr>
      <vt:lpstr>_AYWCbVecRKQ</vt:lpstr>
      <vt:lpstr>_aZ7Bm5L90rn</vt:lpstr>
      <vt:lpstr>_AZdPnw0b1lm</vt:lpstr>
      <vt:lpstr>_B4iWc3gcDcn</vt:lpstr>
      <vt:lpstr>_B9p76UEP9T6</vt:lpstr>
      <vt:lpstr>_Bc3mYAhlY1a</vt:lpstr>
      <vt:lpstr>_bcy4159FETR</vt:lpstr>
      <vt:lpstr>_bGA2GtwhrC9</vt:lpstr>
      <vt:lpstr>_BGi4lPgaJ07</vt:lpstr>
      <vt:lpstr>_bGWaeVBrOcc</vt:lpstr>
      <vt:lpstr>_bhkJDAiqVKX</vt:lpstr>
      <vt:lpstr>_BlC8wOVHBlb</vt:lpstr>
      <vt:lpstr>_BLpPqpMtgQY</vt:lpstr>
      <vt:lpstr>_BmTVMvJHVBO</vt:lpstr>
      <vt:lpstr>_bnQX2QIuIY9</vt:lpstr>
      <vt:lpstr>_Bon3xyAAWKf</vt:lpstr>
      <vt:lpstr>_buSEeeViTo3</vt:lpstr>
      <vt:lpstr>_bvyjEfI0d2V</vt:lpstr>
      <vt:lpstr>_BVzmce6DVeS</vt:lpstr>
      <vt:lpstr>_c0hyfYTOuUh</vt:lpstr>
      <vt:lpstr>_c82mDnhUQly</vt:lpstr>
      <vt:lpstr>_cCgL3J7Lsgn</vt:lpstr>
      <vt:lpstr>_CCl7hAqlrmE</vt:lpstr>
      <vt:lpstr>_cfBaKMnsXd1</vt:lpstr>
      <vt:lpstr>_cJU4qStc9QT</vt:lpstr>
      <vt:lpstr>_COs48yLdDvg</vt:lpstr>
      <vt:lpstr>_cpmmPDsQ3uG</vt:lpstr>
      <vt:lpstr>_cRWrIpjzvVl</vt:lpstr>
      <vt:lpstr>_cWrL45je7mw</vt:lpstr>
      <vt:lpstr>_cWUu9JeMtg7</vt:lpstr>
      <vt:lpstr>_cZ8823L0fLJ</vt:lpstr>
      <vt:lpstr>_D4JnxOsqwE4</vt:lpstr>
      <vt:lpstr>_DMyxTSpvKOp</vt:lpstr>
      <vt:lpstr>_dNLjKwsVjod</vt:lpstr>
      <vt:lpstr>_dpcvWc01CeN</vt:lpstr>
      <vt:lpstr>_dscgTvwyCw8</vt:lpstr>
      <vt:lpstr>_DVnpk4xiXGJ</vt:lpstr>
      <vt:lpstr>_DzAOqCf0ots</vt:lpstr>
      <vt:lpstr>_E9G2aQpCs1A</vt:lpstr>
      <vt:lpstr>_e9IoKRAkYLO</vt:lpstr>
      <vt:lpstr>_EB4aSZN0eQr</vt:lpstr>
      <vt:lpstr>_EDHO4qOyY88</vt:lpstr>
      <vt:lpstr>_EGLpIMSAWhx</vt:lpstr>
      <vt:lpstr>_ehNfKt5LpG9</vt:lpstr>
      <vt:lpstr>_ElwEWppmGgv</vt:lpstr>
      <vt:lpstr>_er7MPiN3tdH</vt:lpstr>
      <vt:lpstr>_EubjsxqlA4d</vt:lpstr>
      <vt:lpstr>_EVairjAiRv6</vt:lpstr>
      <vt:lpstr>_eVEK7djdWqV</vt:lpstr>
      <vt:lpstr>_eVp1pvRfPKS</vt:lpstr>
      <vt:lpstr>_EWJZZN7T9IW</vt:lpstr>
      <vt:lpstr>_eyvitcZL4ex</vt:lpstr>
      <vt:lpstr>_f4ZFD2aswys</vt:lpstr>
      <vt:lpstr>_f87mpByuPub</vt:lpstr>
      <vt:lpstr>_false</vt:lpstr>
      <vt:lpstr>_fg8TSIHSGHX</vt:lpstr>
      <vt:lpstr>_fHaKXfcKthe</vt:lpstr>
      <vt:lpstr>_fHXW26zg2U6</vt:lpstr>
      <vt:lpstr>_Fi5lLVwe1Th</vt:lpstr>
      <vt:lpstr>_fIlPGTXBCUm</vt:lpstr>
      <vt:lpstr>_fkrzFaeuYDn</vt:lpstr>
      <vt:lpstr>_FNduj2N3e8s</vt:lpstr>
      <vt:lpstr>_FOJUXD6f6lB</vt:lpstr>
      <vt:lpstr>_Fq9qs6Kn6wN</vt:lpstr>
      <vt:lpstr>_FUieyovDec8</vt:lpstr>
      <vt:lpstr>_FvQ6WiqHbmo</vt:lpstr>
      <vt:lpstr>_fxBC5D01Iem</vt:lpstr>
      <vt:lpstr>_fYeClLy8K2x</vt:lpstr>
      <vt:lpstr>_FZYvE3Jdf8L</vt:lpstr>
      <vt:lpstr>_G037PAPU5dO</vt:lpstr>
      <vt:lpstr>_G3thRWUQAX9</vt:lpstr>
      <vt:lpstr>_g49fuSiB623</vt:lpstr>
      <vt:lpstr>_G8FCnT37gyb</vt:lpstr>
      <vt:lpstr>_G9o5ad4oJJX</vt:lpstr>
      <vt:lpstr>_Gan3VYicAWe</vt:lpstr>
      <vt:lpstr>_gb7vWtO7Wjp</vt:lpstr>
      <vt:lpstr>_gg9DH7dvdeD</vt:lpstr>
      <vt:lpstr>_gMz0MxjZcEt</vt:lpstr>
      <vt:lpstr>_Gnz4lqrVEMf</vt:lpstr>
      <vt:lpstr>_GPyOOoIby8R</vt:lpstr>
      <vt:lpstr>_GrU8zQv510v</vt:lpstr>
      <vt:lpstr>_Gvox4WmLiYC</vt:lpstr>
      <vt:lpstr>_GWQBgBHdbbp</vt:lpstr>
      <vt:lpstr>_gxi9jcBYyrL</vt:lpstr>
      <vt:lpstr>_HDN85xUGB65</vt:lpstr>
      <vt:lpstr>_HfVjCurKxh2</vt:lpstr>
      <vt:lpstr>_hG1CNbw8wSF</vt:lpstr>
      <vt:lpstr>_hgGOTFYZxMO</vt:lpstr>
      <vt:lpstr>_HgQ76w0VONy</vt:lpstr>
      <vt:lpstr>_HizhPCC5Ps5</vt:lpstr>
      <vt:lpstr>_hmZE3mVAZFf</vt:lpstr>
      <vt:lpstr>_hpXoMVtJpT3</vt:lpstr>
      <vt:lpstr>_hR7B1ITcCMe</vt:lpstr>
      <vt:lpstr>_HwqfuL9pQz5</vt:lpstr>
      <vt:lpstr>_HX7fBSMCCbL</vt:lpstr>
      <vt:lpstr>_HYEuE8zV74t</vt:lpstr>
      <vt:lpstr>_I3NxIqG7bD4</vt:lpstr>
      <vt:lpstr>_i3v8r9XNls2</vt:lpstr>
      <vt:lpstr>_I93t0K7b1oN</vt:lpstr>
      <vt:lpstr>_IbGbsybdeou</vt:lpstr>
      <vt:lpstr>_ibGsqmiVkoU</vt:lpstr>
      <vt:lpstr>_IFAb1JUZ0Fz</vt:lpstr>
      <vt:lpstr>_iFaKKDtb7nf</vt:lpstr>
      <vt:lpstr>_IidAimBSgEf</vt:lpstr>
      <vt:lpstr>_IjLnDADGraQ</vt:lpstr>
      <vt:lpstr>_iNT35p3jsEM</vt:lpstr>
      <vt:lpstr>_ipe4pT2TW7G</vt:lpstr>
      <vt:lpstr>_IZSm5iPKkDg</vt:lpstr>
      <vt:lpstr>_IZy3ESdFnp5</vt:lpstr>
      <vt:lpstr>_jCtFxm8aADJ</vt:lpstr>
      <vt:lpstr>_JEHwU064LAj</vt:lpstr>
      <vt:lpstr>_jFOZHDZpjPL</vt:lpstr>
      <vt:lpstr>_JI5lagoUJR4</vt:lpstr>
      <vt:lpstr>_jieOOtItEQg</vt:lpstr>
      <vt:lpstr>_JIr15Xt3EQn</vt:lpstr>
      <vt:lpstr>_jkyBvNzcTLl</vt:lpstr>
      <vt:lpstr>_jlJcFRt3mmg</vt:lpstr>
      <vt:lpstr>_jMGr96nGwHN</vt:lpstr>
      <vt:lpstr>_JQ5qF3mRCMe</vt:lpstr>
      <vt:lpstr>_juBxu3AprlM</vt:lpstr>
      <vt:lpstr>_jVqoXv7rFns</vt:lpstr>
      <vt:lpstr>_JX7HJfPfbog</vt:lpstr>
      <vt:lpstr>_jXQq22U4Y2e</vt:lpstr>
      <vt:lpstr>_jZOt27rWre8</vt:lpstr>
      <vt:lpstr>_JzvGfLYkX17</vt:lpstr>
      <vt:lpstr>_KAUSOoBq5Ft</vt:lpstr>
      <vt:lpstr>_KKBsggVfCTv</vt:lpstr>
      <vt:lpstr>_KOUhvjWIy6V</vt:lpstr>
      <vt:lpstr>_kpFgAwwSjCZ</vt:lpstr>
      <vt:lpstr>_KqaTbKanCG3</vt:lpstr>
      <vt:lpstr>_KrU8C1YTdao</vt:lpstr>
      <vt:lpstr>_KwgjnBBpe5b</vt:lpstr>
      <vt:lpstr>_KyFesytPvpt</vt:lpstr>
      <vt:lpstr>_LAPR4Iu2NVS</vt:lpstr>
      <vt:lpstr>_lbMrRSBsXh3</vt:lpstr>
      <vt:lpstr>_LbWpsX1FJcC</vt:lpstr>
      <vt:lpstr>_lGN2n7pZ6Ua</vt:lpstr>
      <vt:lpstr>_lKZR6UK0afN</vt:lpstr>
      <vt:lpstr>_lnvESj20mWZ</vt:lpstr>
      <vt:lpstr>_LTLHCOHyyWS</vt:lpstr>
      <vt:lpstr>_lVPoUAKCdmU</vt:lpstr>
      <vt:lpstr>_LW954y3FqL8</vt:lpstr>
      <vt:lpstr>_M9HrCkIwaKy</vt:lpstr>
      <vt:lpstr>_Mb9IYOFZYCv</vt:lpstr>
      <vt:lpstr>_mDSuyD9lOM5</vt:lpstr>
      <vt:lpstr>_mhWSEv79IJW</vt:lpstr>
      <vt:lpstr>_MJEntShoQVK</vt:lpstr>
      <vt:lpstr>_Mk7P920hkBa</vt:lpstr>
      <vt:lpstr>_mmJUi0PpvGi</vt:lpstr>
      <vt:lpstr>_mNa42CHbkO7</vt:lpstr>
      <vt:lpstr>_mwwpy9cyOGy</vt:lpstr>
      <vt:lpstr>_myv7amOYTHn</vt:lpstr>
      <vt:lpstr>_n8iofJiiX4T</vt:lpstr>
      <vt:lpstr>_N9i1v07Ro0E</vt:lpstr>
      <vt:lpstr>_ngUSWwX0Oby</vt:lpstr>
      <vt:lpstr>_NhuW760cOQG</vt:lpstr>
      <vt:lpstr>_Nlv8oKkoAwp</vt:lpstr>
      <vt:lpstr>_Nrnay4JA8Ga</vt:lpstr>
      <vt:lpstr>_NUkOvK4bnj2</vt:lpstr>
      <vt:lpstr>_O0hWoXlHhIS</vt:lpstr>
      <vt:lpstr>_O7BGyJhV2Tc</vt:lpstr>
      <vt:lpstr>_OFXJXWnOG0R</vt:lpstr>
      <vt:lpstr>_oLpoOT6tO7g</vt:lpstr>
      <vt:lpstr>_oofyLUJJ6Vy</vt:lpstr>
      <vt:lpstr>_oroMC4mMzMq</vt:lpstr>
      <vt:lpstr>_oWNF4d3PK8C</vt:lpstr>
      <vt:lpstr>_oy494aJtjTB</vt:lpstr>
      <vt:lpstr>_p5z7F51v1ag</vt:lpstr>
      <vt:lpstr>_pbH6bmcioGw</vt:lpstr>
      <vt:lpstr>_PBUMZvqh0r2</vt:lpstr>
      <vt:lpstr>_PevCwH17M73</vt:lpstr>
      <vt:lpstr>_PFAtPR87fHs</vt:lpstr>
      <vt:lpstr>_pfhvgmllA9M</vt:lpstr>
      <vt:lpstr>_pGLy2Zj2lVg</vt:lpstr>
      <vt:lpstr>_PJS910L8KtX</vt:lpstr>
      <vt:lpstr>_pMukkUmnnkh</vt:lpstr>
      <vt:lpstr>_PpjdOoVUc7k</vt:lpstr>
      <vt:lpstr>_PRrdILmQQb3</vt:lpstr>
      <vt:lpstr>_PvrMV4NjbtR</vt:lpstr>
      <vt:lpstr>_PY4aKgi30fr</vt:lpstr>
      <vt:lpstr>_Pz0LCggcqES</vt:lpstr>
      <vt:lpstr>_pZZriU4sY0l</vt:lpstr>
      <vt:lpstr>_q23bFLr2E5D</vt:lpstr>
      <vt:lpstr>_q2HqXV5OO3z</vt:lpstr>
      <vt:lpstr>_q8CUMlpFLtJ</vt:lpstr>
      <vt:lpstr>_Q8De2VxoKXS</vt:lpstr>
      <vt:lpstr>_q9u7nkNkuGy</vt:lpstr>
      <vt:lpstr>_qbqrFLCJewu</vt:lpstr>
      <vt:lpstr>_qFGgohqJuy0</vt:lpstr>
      <vt:lpstr>_QkOClVdLto1</vt:lpstr>
      <vt:lpstr>_QLERXr2o7IE</vt:lpstr>
      <vt:lpstr>_qNxAIa6jvmm</vt:lpstr>
      <vt:lpstr>_QqAzWHtJ8VC</vt:lpstr>
      <vt:lpstr>_QSpLidCdqMU</vt:lpstr>
      <vt:lpstr>_quQpOfBIDFC</vt:lpstr>
      <vt:lpstr>_QuUK6IgR9oZ</vt:lpstr>
      <vt:lpstr>_R6JXOAVTsay</vt:lpstr>
      <vt:lpstr>_rb6V38jgfFc</vt:lpstr>
      <vt:lpstr>_RDiXMdNXg16</vt:lpstr>
      <vt:lpstr>_rEQqufy2KNi</vt:lpstr>
      <vt:lpstr>_RHokurJAbjS</vt:lpstr>
      <vt:lpstr>_Ri2tb7LBVtP</vt:lpstr>
      <vt:lpstr>_risbLwkLwW5</vt:lpstr>
      <vt:lpstr>_RM1vy8bSPE8</vt:lpstr>
      <vt:lpstr>_Rmy6DbwekE1</vt:lpstr>
      <vt:lpstr>_ROVoulCcT0j</vt:lpstr>
      <vt:lpstr>_RTdjvXHJdnH</vt:lpstr>
      <vt:lpstr>_rtLnlu4GUI2</vt:lpstr>
      <vt:lpstr>_RyAd6laKg3U</vt:lpstr>
      <vt:lpstr>_rYm7I91K6Je</vt:lpstr>
      <vt:lpstr>_s1mzBU7YOaZ</vt:lpstr>
      <vt:lpstr>_S52uSY3lb8V</vt:lpstr>
      <vt:lpstr>_SAsS1Kwc4iW</vt:lpstr>
      <vt:lpstr>_sg5v6c9tCZ3</vt:lpstr>
      <vt:lpstr>_shRXArPWh8H</vt:lpstr>
      <vt:lpstr>_SIWjelxSF5N</vt:lpstr>
      <vt:lpstr>_sNmNyudrFxw</vt:lpstr>
      <vt:lpstr>_SnYHrnchKjL</vt:lpstr>
      <vt:lpstr>_SsAjVE1S87E</vt:lpstr>
      <vt:lpstr>_sSIYRwB1r74</vt:lpstr>
      <vt:lpstr>_ST86paYjRHP</vt:lpstr>
      <vt:lpstr>_T1irZBQ9gNW</vt:lpstr>
      <vt:lpstr>_T7tKHiW1Db1</vt:lpstr>
      <vt:lpstr>_tASpRJWiyvN</vt:lpstr>
      <vt:lpstr>_tDFavWinSwr</vt:lpstr>
      <vt:lpstr>_tdwemEgGckz</vt:lpstr>
      <vt:lpstr>_TIhakAVsQwM</vt:lpstr>
      <vt:lpstr>_tKr3k3lbnJJ</vt:lpstr>
      <vt:lpstr>_TldYkeCwb5r</vt:lpstr>
      <vt:lpstr>_tnTRnfd2aVs</vt:lpstr>
      <vt:lpstr>_TpDwlm2Spev</vt:lpstr>
      <vt:lpstr>_Tr4i6jeDDqj</vt:lpstr>
      <vt:lpstr>_true</vt:lpstr>
      <vt:lpstr>_tSBEjAHKj9V</vt:lpstr>
      <vt:lpstr>_tV0rWhHr9cj</vt:lpstr>
      <vt:lpstr>_TWyMjVaaxmT</vt:lpstr>
      <vt:lpstr>_u3GOCB1Hu01</vt:lpstr>
      <vt:lpstr>_u6F6nBWeomT</vt:lpstr>
      <vt:lpstr>_u7H4MyT2Y0A</vt:lpstr>
      <vt:lpstr>_UJVEh0g7qOo</vt:lpstr>
      <vt:lpstr>_UlQiEogy3wG</vt:lpstr>
      <vt:lpstr>_uvTw0Kus5KZ</vt:lpstr>
      <vt:lpstr>_v2B5AtYQV8H</vt:lpstr>
      <vt:lpstr>_VbA9JYedRlP</vt:lpstr>
      <vt:lpstr>_VbbSe7wgS9s</vt:lpstr>
      <vt:lpstr>_vboedbUs1As</vt:lpstr>
      <vt:lpstr>_vg4b11FL2Gl</vt:lpstr>
      <vt:lpstr>_VGOzFKfSazN</vt:lpstr>
      <vt:lpstr>_VJrTuNXAg9G</vt:lpstr>
      <vt:lpstr>_vkXlj7ZPkGi</vt:lpstr>
      <vt:lpstr>_VMqDEughMuP</vt:lpstr>
      <vt:lpstr>_vnbnnSZXGTv</vt:lpstr>
      <vt:lpstr>_VnTycSnraEY</vt:lpstr>
      <vt:lpstr>_VPesUmegQpP</vt:lpstr>
      <vt:lpstr>_vPoFz9J1v6Y</vt:lpstr>
      <vt:lpstr>_VwqhqUCaMgk</vt:lpstr>
      <vt:lpstr>_VYVKdqiXo4b</vt:lpstr>
      <vt:lpstr>_w3IJVQhc8Rm</vt:lpstr>
      <vt:lpstr>_w8SWd1reRm8</vt:lpstr>
      <vt:lpstr>_WApLDd37Yj2</vt:lpstr>
      <vt:lpstr>_WC5rU5fLMzY</vt:lpstr>
      <vt:lpstr>_wDaqByzsz7p</vt:lpstr>
      <vt:lpstr>_wFkq5oB0dFS</vt:lpstr>
      <vt:lpstr>_wimH12ukPK5</vt:lpstr>
      <vt:lpstr>_wj7iV08dvFq</vt:lpstr>
      <vt:lpstr>_wMTP4GblKr8</vt:lpstr>
      <vt:lpstr>_wnuoeS9sVZR</vt:lpstr>
      <vt:lpstr>_Wpzccx0vjIP</vt:lpstr>
      <vt:lpstr>_WtcZBCTspgM</vt:lpstr>
      <vt:lpstr>_wUBWZEHJm6Q</vt:lpstr>
      <vt:lpstr>_WuQvgvXKamv</vt:lpstr>
      <vt:lpstr>_WXGcnQWJ0Qd</vt:lpstr>
      <vt:lpstr>_wyKC2eWRH3y</vt:lpstr>
      <vt:lpstr>_x6DVvicRjYC</vt:lpstr>
      <vt:lpstr>_xb2ezJcUoSR</vt:lpstr>
      <vt:lpstr>_xB6nQN5Wtpg</vt:lpstr>
      <vt:lpstr>_XebDUbuPqVx</vt:lpstr>
      <vt:lpstr>_XEj0ILIlbWO</vt:lpstr>
      <vt:lpstr>_XeWqwCw9G5s</vt:lpstr>
      <vt:lpstr>_Xgr3PJxcWfJ</vt:lpstr>
      <vt:lpstr>_XjHXb0aFH5w</vt:lpstr>
      <vt:lpstr>_XJscL6IuHpd</vt:lpstr>
      <vt:lpstr>_XKKI1hhyFxk</vt:lpstr>
      <vt:lpstr>_xqjIL1cGrl1</vt:lpstr>
      <vt:lpstr>_Xr12mI7VPn3</vt:lpstr>
      <vt:lpstr>_xtrKmZJKljq</vt:lpstr>
      <vt:lpstr>_XYpsN5j30R9</vt:lpstr>
      <vt:lpstr>_Xz7rnovuiOx</vt:lpstr>
      <vt:lpstr>_y582ESg0Vjo</vt:lpstr>
      <vt:lpstr>_Y7EAGQA1bfv</vt:lpstr>
      <vt:lpstr>_Y7fcspgsU43</vt:lpstr>
      <vt:lpstr>_yBqy4nxuOCA</vt:lpstr>
      <vt:lpstr>_Yg9QkNQk9p7</vt:lpstr>
      <vt:lpstr>_YOL13ptz4ef</vt:lpstr>
      <vt:lpstr>_yqQBUxeuga4</vt:lpstr>
      <vt:lpstr>_yzAMOdV0Pmr</vt:lpstr>
      <vt:lpstr>_z51rgcc5R8V</vt:lpstr>
      <vt:lpstr>_z5ouOuycTPO</vt:lpstr>
      <vt:lpstr>_zaluKz5Llai</vt:lpstr>
      <vt:lpstr>_Zav7juzGmEo</vt:lpstr>
      <vt:lpstr>_ZcrjvJaYQb7</vt:lpstr>
      <vt:lpstr>_Zdl3ad7PayF</vt:lpstr>
      <vt:lpstr>_zEYrsiNUGIo</vt:lpstr>
      <vt:lpstr>_zFInPJBZVbN</vt:lpstr>
      <vt:lpstr>_ZgsdoEiTlLq</vt:lpstr>
      <vt:lpstr>_zozZbvSo4Bz</vt:lpstr>
      <vt:lpstr>_ZRxKEGQmkWI</vt:lpstr>
      <vt:lpstr>_zYQqFxQw5jj</vt:lpstr>
      <vt:lpstr>_ZzoDfdWIt6z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EyeSeeTea</dc:creator>
  <cp:lastModifiedBy>Alexis Rico</cp:lastModifiedBy>
  <dcterms:created xsi:type="dcterms:W3CDTF">2017-07-03T20:50:47Z</dcterms:created>
  <dcterms:modified xsi:type="dcterms:W3CDTF">2021-05-17T15:17:08Z</dcterms:modified>
</cp:coreProperties>
</file>