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/>
  <mc:AlternateContent xmlns:mc="http://schemas.openxmlformats.org/markup-compatibility/2006">
    <mc:Choice Requires="x15">
      <x15ac:absPath xmlns:x15ac="http://schemas.microsoft.com/office/spreadsheetml/2010/11/ac" url="C:\Users\Eygon Zhang\OneDrive\桌面\StarCCM_力矩平衡模型\Nature Energy\"/>
    </mc:Choice>
  </mc:AlternateContent>
  <xr:revisionPtr revIDLastSave="0" documentId="13_ncr:1_{73848CE4-46E7-44C2-B0DD-FC27AB79D150}" xr6:coauthVersionLast="47" xr6:coauthVersionMax="47" xr10:uidLastSave="{00000000-0000-0000-0000-000000000000}"/>
  <bookViews>
    <workbookView xWindow="-110" yWindow="-110" windowWidth="25820" windowHeight="15500" xr2:uid="{F5D9B3AE-3F25-4691-B00F-8F29635F62B7}"/>
  </bookViews>
  <sheets>
    <sheet name="TSR &amp; Moment Matrix" sheetId="1" r:id="rId1"/>
    <sheet name="Find M_idle coefficient, &quot;a&quot;" sheetId="2" state="hidden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3" i="1" l="1"/>
  <c r="Z27" i="1"/>
  <c r="AC27" i="1" s="1"/>
  <c r="AC29" i="1"/>
  <c r="Z38" i="1"/>
  <c r="AC38" i="1" s="1"/>
  <c r="AC30" i="1"/>
  <c r="AC31" i="1"/>
  <c r="AC32" i="1"/>
  <c r="AC33" i="1"/>
  <c r="AC34" i="1"/>
  <c r="AC35" i="1"/>
  <c r="AC36" i="1"/>
  <c r="AC37" i="1"/>
  <c r="AB30" i="1"/>
  <c r="AB31" i="1"/>
  <c r="AB32" i="1"/>
  <c r="AB33" i="1"/>
  <c r="AB34" i="1"/>
  <c r="AB35" i="1"/>
  <c r="AB36" i="1"/>
  <c r="AB37" i="1"/>
  <c r="AB38" i="1"/>
  <c r="AB29" i="1"/>
  <c r="AC19" i="1"/>
  <c r="AC20" i="1"/>
  <c r="AC21" i="1"/>
  <c r="AC22" i="1"/>
  <c r="AC23" i="1"/>
  <c r="AC24" i="1"/>
  <c r="AC25" i="1"/>
  <c r="AC26" i="1"/>
  <c r="AC18" i="1"/>
  <c r="AB19" i="1"/>
  <c r="AB20" i="1"/>
  <c r="AB21" i="1"/>
  <c r="AB22" i="1"/>
  <c r="AB23" i="1"/>
  <c r="AB24" i="1"/>
  <c r="AB25" i="1"/>
  <c r="AB26" i="1"/>
  <c r="AB27" i="1"/>
  <c r="AB18" i="1"/>
  <c r="AD31" i="1" l="1"/>
  <c r="AE31" i="1" s="1"/>
  <c r="AD36" i="1"/>
  <c r="AD38" i="1"/>
  <c r="AE33" i="1" s="1"/>
  <c r="AD29" i="1"/>
  <c r="AD25" i="1"/>
  <c r="AD20" i="1"/>
  <c r="AD27" i="1"/>
  <c r="AE22" i="1" s="1"/>
  <c r="AD18" i="1"/>
  <c r="AD33" i="1" l="1"/>
  <c r="AE20" i="1"/>
  <c r="AD22" i="1"/>
  <c r="E12" i="1" l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F11" i="1"/>
  <c r="AB5" i="1"/>
  <c r="AC5" i="1"/>
  <c r="AB6" i="1"/>
  <c r="AC6" i="1"/>
  <c r="AB7" i="1"/>
  <c r="AC7" i="1"/>
  <c r="AB8" i="1"/>
  <c r="AC8" i="1"/>
  <c r="AB9" i="1"/>
  <c r="AC9" i="1"/>
  <c r="AB10" i="1"/>
  <c r="AC10" i="1"/>
  <c r="AB11" i="1"/>
  <c r="AC11" i="1"/>
  <c r="AB12" i="1"/>
  <c r="AC12" i="1"/>
  <c r="AB13" i="1"/>
  <c r="AC13" i="1"/>
  <c r="AB14" i="1"/>
  <c r="AC14" i="1"/>
  <c r="Z42" i="1"/>
  <c r="Z44" i="1"/>
  <c r="AA44" i="1" s="1"/>
  <c r="AB44" i="1" s="1"/>
  <c r="U27" i="1"/>
  <c r="O28" i="1"/>
  <c r="P28" i="1"/>
  <c r="Q28" i="1"/>
  <c r="R28" i="1"/>
  <c r="S28" i="1"/>
  <c r="T28" i="1"/>
  <c r="V28" i="1"/>
  <c r="S30" i="1"/>
  <c r="P30" i="1"/>
  <c r="R30" i="1"/>
  <c r="AD5" i="1" l="1"/>
  <c r="AD14" i="1"/>
  <c r="AE9" i="1" s="1"/>
  <c r="AD12" i="1"/>
  <c r="AD7" i="1"/>
  <c r="AE7" i="1" l="1"/>
  <c r="AD9" i="1"/>
  <c r="AD16" i="1" s="1"/>
  <c r="S29" i="1"/>
  <c r="P29" i="1"/>
  <c r="R29" i="1"/>
  <c r="S27" i="1"/>
  <c r="O27" i="1"/>
  <c r="P27" i="1"/>
  <c r="R27" i="1"/>
  <c r="V26" i="1"/>
  <c r="S26" i="1"/>
  <c r="T26" i="1"/>
  <c r="Q26" i="1"/>
  <c r="R26" i="1"/>
  <c r="P26" i="1"/>
  <c r="O26" i="1"/>
  <c r="V25" i="1"/>
  <c r="T25" i="1"/>
  <c r="R25" i="1"/>
  <c r="S25" i="1"/>
  <c r="P25" i="1"/>
  <c r="Q25" i="1"/>
  <c r="V24" i="1"/>
  <c r="O25" i="1"/>
  <c r="S24" i="1"/>
  <c r="T24" i="1"/>
  <c r="Q24" i="1"/>
  <c r="R24" i="1"/>
  <c r="P24" i="1"/>
  <c r="O24" i="1"/>
  <c r="S23" i="1"/>
  <c r="P23" i="1"/>
  <c r="V22" i="1"/>
  <c r="T22" i="1"/>
  <c r="S22" i="1"/>
  <c r="Q22" i="1"/>
  <c r="R22" i="1"/>
  <c r="P22" i="1"/>
  <c r="O22" i="1"/>
  <c r="T21" i="1"/>
  <c r="V21" i="1"/>
  <c r="S21" i="1"/>
  <c r="Z9" i="2"/>
  <c r="Y9" i="2"/>
  <c r="Y8" i="2"/>
  <c r="Y7" i="2"/>
  <c r="R21" i="1"/>
  <c r="Q21" i="1"/>
  <c r="P21" i="1"/>
  <c r="V20" i="1"/>
  <c r="T20" i="1"/>
  <c r="S20" i="1"/>
  <c r="O21" i="1"/>
  <c r="R20" i="1"/>
  <c r="Q20" i="1"/>
  <c r="D21" i="1"/>
  <c r="P20" i="1"/>
  <c r="O20" i="1"/>
  <c r="S19" i="1"/>
  <c r="R19" i="1"/>
  <c r="P19" i="1"/>
  <c r="V18" i="1"/>
  <c r="T18" i="1"/>
  <c r="S18" i="1"/>
  <c r="R18" i="1"/>
  <c r="V6" i="2"/>
  <c r="D40" i="2"/>
  <c r="E40" i="2"/>
  <c r="F40" i="2"/>
  <c r="G40" i="2"/>
  <c r="H40" i="2"/>
  <c r="I40" i="2"/>
  <c r="J40" i="2"/>
  <c r="D41" i="2"/>
  <c r="E41" i="2"/>
  <c r="F41" i="2"/>
  <c r="G41" i="2"/>
  <c r="H41" i="2"/>
  <c r="I41" i="2"/>
  <c r="J41" i="2"/>
  <c r="D42" i="2"/>
  <c r="E42" i="2"/>
  <c r="F42" i="2"/>
  <c r="G42" i="2"/>
  <c r="H42" i="2"/>
  <c r="I42" i="2"/>
  <c r="J42" i="2"/>
  <c r="G38" i="2"/>
  <c r="H38" i="2"/>
  <c r="G39" i="2"/>
  <c r="H39" i="2"/>
  <c r="I38" i="2"/>
  <c r="J38" i="2"/>
  <c r="D44" i="2"/>
  <c r="E44" i="2"/>
  <c r="F44" i="2"/>
  <c r="G44" i="2"/>
  <c r="H44" i="2"/>
  <c r="I44" i="2"/>
  <c r="J44" i="2"/>
  <c r="D45" i="2"/>
  <c r="E45" i="2"/>
  <c r="F45" i="2"/>
  <c r="G45" i="2"/>
  <c r="H45" i="2"/>
  <c r="I45" i="2"/>
  <c r="J45" i="2"/>
  <c r="D46" i="2"/>
  <c r="E46" i="2"/>
  <c r="F46" i="2"/>
  <c r="G46" i="2"/>
  <c r="H46" i="2"/>
  <c r="I46" i="2"/>
  <c r="J46" i="2"/>
  <c r="D32" i="2"/>
  <c r="E32" i="2"/>
  <c r="F32" i="2"/>
  <c r="G32" i="2"/>
  <c r="H32" i="2"/>
  <c r="I32" i="2"/>
  <c r="J32" i="2"/>
  <c r="D33" i="2"/>
  <c r="E33" i="2"/>
  <c r="F33" i="2"/>
  <c r="G33" i="2"/>
  <c r="H33" i="2"/>
  <c r="I33" i="2"/>
  <c r="J33" i="2"/>
  <c r="D34" i="2"/>
  <c r="E34" i="2"/>
  <c r="F34" i="2"/>
  <c r="G34" i="2"/>
  <c r="H34" i="2"/>
  <c r="I34" i="2"/>
  <c r="J34" i="2"/>
  <c r="D35" i="2"/>
  <c r="E35" i="2"/>
  <c r="F35" i="2"/>
  <c r="G35" i="2"/>
  <c r="H35" i="2"/>
  <c r="I35" i="2"/>
  <c r="J35" i="2"/>
  <c r="D36" i="2"/>
  <c r="E36" i="2"/>
  <c r="F36" i="2"/>
  <c r="G36" i="2"/>
  <c r="H36" i="2"/>
  <c r="I36" i="2"/>
  <c r="J36" i="2"/>
  <c r="D37" i="2"/>
  <c r="E37" i="2"/>
  <c r="F37" i="2"/>
  <c r="G37" i="2"/>
  <c r="H37" i="2"/>
  <c r="I37" i="2"/>
  <c r="J37" i="2"/>
  <c r="D38" i="2"/>
  <c r="E38" i="2"/>
  <c r="F38" i="2"/>
  <c r="D39" i="2"/>
  <c r="E39" i="2"/>
  <c r="F39" i="2"/>
  <c r="I39" i="2"/>
  <c r="J39" i="2"/>
  <c r="D43" i="2"/>
  <c r="E43" i="2"/>
  <c r="F43" i="2"/>
  <c r="G43" i="2"/>
  <c r="H43" i="2"/>
  <c r="I43" i="2"/>
  <c r="J43" i="2"/>
  <c r="D47" i="2"/>
  <c r="E47" i="2"/>
  <c r="F47" i="2"/>
  <c r="G47" i="2"/>
  <c r="H47" i="2"/>
  <c r="I47" i="2"/>
  <c r="J47" i="2"/>
  <c r="D48" i="2"/>
  <c r="E48" i="2"/>
  <c r="F48" i="2"/>
  <c r="G48" i="2"/>
  <c r="H48" i="2"/>
  <c r="I48" i="2"/>
  <c r="J48" i="2"/>
  <c r="D49" i="2"/>
  <c r="E49" i="2"/>
  <c r="F49" i="2"/>
  <c r="G49" i="2"/>
  <c r="H49" i="2"/>
  <c r="I49" i="2"/>
  <c r="J49" i="2"/>
  <c r="D50" i="2"/>
  <c r="E50" i="2"/>
  <c r="F50" i="2"/>
  <c r="G50" i="2"/>
  <c r="H50" i="2"/>
  <c r="I50" i="2"/>
  <c r="J50" i="2"/>
  <c r="E31" i="2"/>
  <c r="F31" i="2"/>
  <c r="G31" i="2"/>
  <c r="H31" i="2"/>
  <c r="I31" i="2"/>
  <c r="J31" i="2"/>
  <c r="D31" i="2"/>
  <c r="O34" i="2"/>
  <c r="P34" i="2"/>
  <c r="Q34" i="2"/>
  <c r="R34" i="2"/>
  <c r="S34" i="2"/>
  <c r="T34" i="2"/>
  <c r="U34" i="2"/>
  <c r="O33" i="2"/>
  <c r="P33" i="2"/>
  <c r="Q33" i="2"/>
  <c r="R33" i="2"/>
  <c r="S33" i="2"/>
  <c r="T33" i="2"/>
  <c r="U33" i="2"/>
  <c r="V25" i="2"/>
  <c r="T25" i="2" s="1"/>
  <c r="V24" i="2"/>
  <c r="T24" i="2" s="1"/>
  <c r="V23" i="2"/>
  <c r="U23" i="2" s="1"/>
  <c r="V22" i="2"/>
  <c r="T22" i="2" s="1"/>
  <c r="V21" i="2"/>
  <c r="T21" i="2" s="1"/>
  <c r="V20" i="2"/>
  <c r="U20" i="2" s="1"/>
  <c r="V19" i="2"/>
  <c r="U19" i="2" s="1"/>
  <c r="V18" i="2"/>
  <c r="Q18" i="2" s="1"/>
  <c r="V17" i="2"/>
  <c r="T17" i="2" s="1"/>
  <c r="V16" i="2"/>
  <c r="R16" i="2" s="1"/>
  <c r="V15" i="2"/>
  <c r="V14" i="2"/>
  <c r="V13" i="2"/>
  <c r="V12" i="2"/>
  <c r="U12" i="2" s="1"/>
  <c r="V11" i="2"/>
  <c r="U11" i="2" s="1"/>
  <c r="V10" i="2"/>
  <c r="R10" i="2" s="1"/>
  <c r="V9" i="2"/>
  <c r="U9" i="2" s="1"/>
  <c r="V8" i="2"/>
  <c r="R8" i="2" s="1"/>
  <c r="V7" i="2"/>
  <c r="U7" i="2" s="1"/>
  <c r="Q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6" i="2"/>
  <c r="Q16" i="2"/>
  <c r="U15" i="2"/>
  <c r="U14" i="2"/>
  <c r="R13" i="2"/>
  <c r="T12" i="2"/>
  <c r="AC7" i="2"/>
  <c r="AC8" i="2"/>
  <c r="AC9" i="2"/>
  <c r="AC10" i="2"/>
  <c r="AC11" i="2"/>
  <c r="AC12" i="2"/>
  <c r="AC13" i="2"/>
  <c r="AC14" i="2"/>
  <c r="AC15" i="2"/>
  <c r="AC16" i="2"/>
  <c r="AC17" i="2"/>
  <c r="AC18" i="2"/>
  <c r="AC19" i="2"/>
  <c r="AC20" i="2"/>
  <c r="AC21" i="2"/>
  <c r="AC22" i="2"/>
  <c r="AC23" i="2"/>
  <c r="AC24" i="2"/>
  <c r="AC25" i="2"/>
  <c r="AD7" i="2"/>
  <c r="AD8" i="2"/>
  <c r="AD9" i="2"/>
  <c r="AD10" i="2"/>
  <c r="AD11" i="2"/>
  <c r="AD12" i="2"/>
  <c r="AD13" i="2"/>
  <c r="AD14" i="2"/>
  <c r="AD15" i="2"/>
  <c r="AD16" i="2"/>
  <c r="AD17" i="2"/>
  <c r="AD18" i="2"/>
  <c r="AD19" i="2"/>
  <c r="AD20" i="2"/>
  <c r="AD21" i="2"/>
  <c r="AD22" i="2"/>
  <c r="AD23" i="2"/>
  <c r="AD24" i="2"/>
  <c r="AD25" i="2"/>
  <c r="AE7" i="2"/>
  <c r="AE8" i="2"/>
  <c r="AE9" i="2"/>
  <c r="AE10" i="2"/>
  <c r="AE11" i="2"/>
  <c r="AE12" i="2"/>
  <c r="AE13" i="2"/>
  <c r="AE14" i="2"/>
  <c r="AE15" i="2"/>
  <c r="AE16" i="2"/>
  <c r="AE17" i="2"/>
  <c r="AE18" i="2"/>
  <c r="AE19" i="2"/>
  <c r="AE20" i="2"/>
  <c r="AE21" i="2"/>
  <c r="AE22" i="2"/>
  <c r="AE23" i="2"/>
  <c r="AE24" i="2"/>
  <c r="AE25" i="2"/>
  <c r="AF7" i="2"/>
  <c r="AF8" i="2"/>
  <c r="AF9" i="2"/>
  <c r="AF10" i="2"/>
  <c r="AF11" i="2"/>
  <c r="AF12" i="2"/>
  <c r="AF13" i="2"/>
  <c r="AF14" i="2"/>
  <c r="AF15" i="2"/>
  <c r="AF16" i="2"/>
  <c r="AF17" i="2"/>
  <c r="AF18" i="2"/>
  <c r="AF19" i="2"/>
  <c r="AF20" i="2"/>
  <c r="AF21" i="2"/>
  <c r="AF22" i="2"/>
  <c r="AF23" i="2"/>
  <c r="AF24" i="2"/>
  <c r="AF25" i="2"/>
  <c r="AF6" i="2"/>
  <c r="AE6" i="2"/>
  <c r="AD6" i="2"/>
  <c r="AC6" i="2"/>
  <c r="T23" i="2"/>
  <c r="AB7" i="2"/>
  <c r="AB8" i="2"/>
  <c r="AB9" i="2"/>
  <c r="AB10" i="2"/>
  <c r="AB11" i="2"/>
  <c r="AB12" i="2"/>
  <c r="AB13" i="2"/>
  <c r="AB14" i="2"/>
  <c r="AB15" i="2"/>
  <c r="AB16" i="2"/>
  <c r="AB17" i="2"/>
  <c r="AB18" i="2"/>
  <c r="AB19" i="2"/>
  <c r="AB20" i="2"/>
  <c r="AB21" i="2"/>
  <c r="AB22" i="2"/>
  <c r="AB23" i="2"/>
  <c r="AB24" i="2"/>
  <c r="AB25" i="2"/>
  <c r="AB6" i="2"/>
  <c r="AA7" i="2"/>
  <c r="AA8" i="2"/>
  <c r="AA9" i="2"/>
  <c r="AA10" i="2"/>
  <c r="AA11" i="2"/>
  <c r="AA12" i="2"/>
  <c r="AA13" i="2"/>
  <c r="AA14" i="2"/>
  <c r="AA15" i="2"/>
  <c r="AA16" i="2"/>
  <c r="AA17" i="2"/>
  <c r="AA18" i="2"/>
  <c r="AA19" i="2"/>
  <c r="AA20" i="2"/>
  <c r="AA21" i="2"/>
  <c r="AA22" i="2"/>
  <c r="AA23" i="2"/>
  <c r="AA24" i="2"/>
  <c r="AA25" i="2"/>
  <c r="AA6" i="2"/>
  <c r="Y6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Z7" i="2"/>
  <c r="Z8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6" i="2"/>
  <c r="O24" i="2"/>
  <c r="S24" i="2"/>
  <c r="O29" i="2"/>
  <c r="P29" i="2"/>
  <c r="Q29" i="2"/>
  <c r="R29" i="2"/>
  <c r="S29" i="2"/>
  <c r="T29" i="2"/>
  <c r="U29" i="2"/>
  <c r="O30" i="2"/>
  <c r="P30" i="2"/>
  <c r="Q30" i="2"/>
  <c r="R30" i="2"/>
  <c r="S30" i="2"/>
  <c r="T30" i="2"/>
  <c r="U30" i="2"/>
  <c r="O31" i="2"/>
  <c r="P31" i="2"/>
  <c r="Q31" i="2"/>
  <c r="R31" i="2"/>
  <c r="S31" i="2"/>
  <c r="T31" i="2"/>
  <c r="U31" i="2"/>
  <c r="O32" i="2"/>
  <c r="P32" i="2"/>
  <c r="Q32" i="2"/>
  <c r="R32" i="2"/>
  <c r="S32" i="2"/>
  <c r="T32" i="2"/>
  <c r="U32" i="2"/>
  <c r="P28" i="2"/>
  <c r="Q28" i="2"/>
  <c r="R28" i="2"/>
  <c r="S28" i="2"/>
  <c r="T28" i="2"/>
  <c r="U28" i="2"/>
  <c r="O28" i="2"/>
  <c r="P10" i="2"/>
  <c r="Q10" i="2"/>
  <c r="P21" i="2"/>
  <c r="Q21" i="2"/>
  <c r="O22" i="2"/>
  <c r="Q22" i="2"/>
  <c r="Q18" i="1"/>
  <c r="O18" i="1"/>
  <c r="P18" i="1"/>
  <c r="V17" i="1"/>
  <c r="T17" i="1"/>
  <c r="S17" i="1"/>
  <c r="R17" i="1"/>
  <c r="Q17" i="1"/>
  <c r="P17" i="1"/>
  <c r="O17" i="1"/>
  <c r="V16" i="1"/>
  <c r="T16" i="1"/>
  <c r="S16" i="1"/>
  <c r="R16" i="1"/>
  <c r="Q16" i="1"/>
  <c r="P16" i="1"/>
  <c r="O16" i="1"/>
  <c r="V15" i="1"/>
  <c r="T15" i="1"/>
  <c r="S15" i="1"/>
  <c r="R15" i="1"/>
  <c r="P15" i="1"/>
  <c r="O15" i="1"/>
  <c r="S14" i="1"/>
  <c r="P14" i="1"/>
  <c r="V13" i="1"/>
  <c r="S13" i="1"/>
  <c r="R13" i="1"/>
  <c r="Q13" i="1"/>
  <c r="P13" i="1"/>
  <c r="O13" i="1"/>
  <c r="V12" i="1"/>
  <c r="T12" i="1"/>
  <c r="S12" i="1"/>
  <c r="R12" i="1"/>
  <c r="Q12" i="1"/>
  <c r="O12" i="1"/>
  <c r="V11" i="1"/>
  <c r="T11" i="1"/>
  <c r="R11" i="1"/>
  <c r="S11" i="1"/>
  <c r="Q11" i="1"/>
  <c r="P11" i="1"/>
  <c r="O11" i="1"/>
  <c r="D29" i="1"/>
  <c r="G29" i="1"/>
  <c r="H29" i="1"/>
  <c r="I29" i="1"/>
  <c r="J29" i="1"/>
  <c r="K29" i="1"/>
  <c r="O29" i="1"/>
  <c r="V29" i="1"/>
  <c r="Q29" i="1"/>
  <c r="T29" i="1"/>
  <c r="Q30" i="1"/>
  <c r="O30" i="1"/>
  <c r="Q27" i="1"/>
  <c r="T30" i="1"/>
  <c r="V30" i="1"/>
  <c r="V27" i="1"/>
  <c r="V23" i="1"/>
  <c r="T23" i="1"/>
  <c r="O23" i="1"/>
  <c r="Q23" i="1"/>
  <c r="O19" i="1"/>
  <c r="Q19" i="1"/>
  <c r="T19" i="1"/>
  <c r="V19" i="1"/>
  <c r="V14" i="1"/>
  <c r="T14" i="1"/>
  <c r="Q14" i="1"/>
  <c r="O14" i="1"/>
  <c r="D32" i="1"/>
  <c r="G32" i="1"/>
  <c r="H32" i="1"/>
  <c r="I32" i="1"/>
  <c r="J32" i="1"/>
  <c r="K32" i="1"/>
  <c r="J31" i="1"/>
  <c r="H31" i="1"/>
  <c r="G31" i="1"/>
  <c r="D31" i="1"/>
  <c r="G30" i="1"/>
  <c r="H30" i="1"/>
  <c r="I30" i="1"/>
  <c r="J30" i="1"/>
  <c r="K30" i="1"/>
  <c r="I31" i="1"/>
  <c r="K31" i="1"/>
  <c r="D30" i="1"/>
  <c r="J27" i="1"/>
  <c r="D12" i="1"/>
  <c r="G12" i="1"/>
  <c r="H12" i="1"/>
  <c r="I12" i="1"/>
  <c r="J12" i="1"/>
  <c r="K12" i="1"/>
  <c r="D13" i="1"/>
  <c r="G13" i="1"/>
  <c r="H13" i="1"/>
  <c r="I13" i="1"/>
  <c r="J13" i="1"/>
  <c r="K13" i="1"/>
  <c r="D14" i="1"/>
  <c r="G14" i="1"/>
  <c r="H14" i="1"/>
  <c r="I14" i="1"/>
  <c r="J14" i="1"/>
  <c r="K14" i="1"/>
  <c r="D15" i="1"/>
  <c r="G15" i="1"/>
  <c r="H15" i="1"/>
  <c r="I15" i="1"/>
  <c r="J15" i="1"/>
  <c r="K15" i="1"/>
  <c r="D16" i="1"/>
  <c r="G16" i="1"/>
  <c r="H16" i="1"/>
  <c r="I16" i="1"/>
  <c r="J16" i="1"/>
  <c r="K16" i="1"/>
  <c r="D17" i="1"/>
  <c r="G17" i="1"/>
  <c r="H17" i="1"/>
  <c r="I17" i="1"/>
  <c r="J17" i="1"/>
  <c r="K17" i="1"/>
  <c r="D18" i="1"/>
  <c r="G18" i="1"/>
  <c r="H18" i="1"/>
  <c r="I18" i="1"/>
  <c r="J18" i="1"/>
  <c r="K18" i="1"/>
  <c r="D19" i="1"/>
  <c r="G19" i="1"/>
  <c r="H19" i="1"/>
  <c r="I19" i="1"/>
  <c r="J19" i="1"/>
  <c r="K19" i="1"/>
  <c r="D20" i="1"/>
  <c r="G20" i="1"/>
  <c r="H20" i="1"/>
  <c r="I20" i="1"/>
  <c r="J20" i="1"/>
  <c r="K20" i="1"/>
  <c r="G21" i="1"/>
  <c r="H21" i="1"/>
  <c r="I21" i="1"/>
  <c r="J21" i="1"/>
  <c r="K21" i="1"/>
  <c r="D22" i="1"/>
  <c r="G22" i="1"/>
  <c r="H22" i="1"/>
  <c r="I22" i="1"/>
  <c r="J22" i="1"/>
  <c r="K22" i="1"/>
  <c r="D23" i="1"/>
  <c r="G23" i="1"/>
  <c r="H23" i="1"/>
  <c r="I23" i="1"/>
  <c r="J23" i="1"/>
  <c r="K23" i="1"/>
  <c r="D24" i="1"/>
  <c r="G24" i="1"/>
  <c r="H24" i="1"/>
  <c r="I24" i="1"/>
  <c r="J24" i="1"/>
  <c r="K24" i="1"/>
  <c r="D25" i="1"/>
  <c r="G25" i="1"/>
  <c r="H25" i="1"/>
  <c r="I25" i="1"/>
  <c r="J25" i="1"/>
  <c r="K25" i="1"/>
  <c r="D26" i="1"/>
  <c r="G26" i="1"/>
  <c r="H26" i="1"/>
  <c r="I26" i="1"/>
  <c r="J26" i="1"/>
  <c r="K26" i="1"/>
  <c r="D27" i="1"/>
  <c r="G27" i="1"/>
  <c r="H27" i="1"/>
  <c r="I27" i="1"/>
  <c r="K27" i="1"/>
  <c r="D28" i="1"/>
  <c r="G28" i="1"/>
  <c r="H28" i="1"/>
  <c r="I28" i="1"/>
  <c r="J28" i="1"/>
  <c r="K28" i="1"/>
  <c r="E11" i="1"/>
  <c r="G11" i="1"/>
  <c r="H11" i="1"/>
  <c r="I11" i="1"/>
  <c r="J11" i="1"/>
  <c r="K11" i="1"/>
  <c r="D11" i="1"/>
  <c r="R22" i="2" l="1"/>
  <c r="S25" i="2"/>
  <c r="Q23" i="2"/>
  <c r="T19" i="2"/>
  <c r="U22" i="2"/>
  <c r="P20" i="2"/>
  <c r="O19" i="2"/>
  <c r="S19" i="2"/>
  <c r="P23" i="2"/>
  <c r="S23" i="2"/>
  <c r="S20" i="2"/>
  <c r="U24" i="2"/>
  <c r="U25" i="2"/>
  <c r="R21" i="2"/>
  <c r="O6" i="2"/>
  <c r="P9" i="2"/>
  <c r="Q12" i="2"/>
  <c r="P12" i="2"/>
  <c r="S6" i="2"/>
  <c r="T11" i="2"/>
  <c r="T8" i="2"/>
  <c r="S21" i="2"/>
  <c r="S9" i="2"/>
  <c r="T9" i="2"/>
  <c r="O9" i="2"/>
  <c r="U8" i="2"/>
  <c r="S8" i="2"/>
  <c r="U21" i="2"/>
  <c r="P7" i="2"/>
  <c r="O8" i="2"/>
  <c r="T20" i="2"/>
  <c r="T10" i="2"/>
  <c r="Q9" i="2"/>
  <c r="S15" i="2"/>
  <c r="P15" i="2"/>
  <c r="O14" i="2"/>
  <c r="O15" i="2"/>
  <c r="T15" i="2"/>
  <c r="T14" i="2"/>
  <c r="S14" i="2"/>
  <c r="U13" i="2"/>
  <c r="R14" i="2"/>
  <c r="T13" i="2"/>
  <c r="Q14" i="2"/>
  <c r="P14" i="2"/>
  <c r="Q15" i="2"/>
  <c r="S13" i="2"/>
  <c r="U10" i="2"/>
  <c r="P22" i="2"/>
  <c r="Q8" i="2"/>
  <c r="U6" i="2"/>
  <c r="P8" i="2"/>
  <c r="T6" i="2"/>
  <c r="U17" i="2"/>
  <c r="R18" i="2"/>
  <c r="R7" i="2"/>
  <c r="S16" i="2"/>
  <c r="Q7" i="2"/>
  <c r="T16" i="2"/>
  <c r="T7" i="2"/>
  <c r="U18" i="2"/>
  <c r="T18" i="2"/>
  <c r="S18" i="2"/>
  <c r="S7" i="2"/>
  <c r="U16" i="2"/>
  <c r="O7" i="2"/>
  <c r="O20" i="2"/>
  <c r="P13" i="2"/>
  <c r="R25" i="2"/>
  <c r="R19" i="2"/>
  <c r="R24" i="2"/>
  <c r="Q19" i="2"/>
  <c r="S12" i="2"/>
  <c r="Q13" i="2"/>
  <c r="P6" i="2"/>
  <c r="O13" i="2"/>
  <c r="P19" i="2"/>
  <c r="R12" i="2"/>
  <c r="R23" i="2"/>
  <c r="R9" i="2"/>
  <c r="O23" i="2"/>
  <c r="O10" i="2"/>
  <c r="P18" i="2"/>
  <c r="R17" i="2"/>
  <c r="O12" i="2"/>
  <c r="S22" i="2"/>
  <c r="P17" i="2"/>
  <c r="R11" i="2"/>
  <c r="P24" i="2"/>
  <c r="R6" i="2"/>
  <c r="O18" i="2"/>
  <c r="S17" i="2"/>
  <c r="Q17" i="2"/>
  <c r="S11" i="2"/>
  <c r="Q24" i="2"/>
  <c r="O17" i="2"/>
  <c r="Q11" i="2"/>
  <c r="O21" i="2"/>
  <c r="P11" i="2"/>
  <c r="P25" i="2"/>
  <c r="Q20" i="2"/>
  <c r="R15" i="2"/>
  <c r="S10" i="2"/>
  <c r="O25" i="2"/>
  <c r="P16" i="2"/>
  <c r="O16" i="2"/>
  <c r="Q25" i="2"/>
  <c r="R20" i="2"/>
  <c r="O11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tc={FEC52452-6298-4041-8AC5-821E2B130D2F}</author>
    <author>tc={A0291EF9-4230-419C-9FAA-B094D4CEB89C}</author>
    <author>tc={84382AD3-E732-4D7A-BE35-C0000979E7A1}</author>
    <author>tc={4BEFDFF3-A934-4120-B7DD-CE385C5B3F9C}</author>
    <author>tc={AB1AEEBF-036A-40FF-B6E4-3B56D93A4F7A}</author>
    <author>tc={EBA7DF31-5DB1-45CB-86F5-8F41A7C8B72C}</author>
    <author>tc={21678BF1-E551-41F5-BB64-BAB3D99822DD}</author>
    <author>tc={E7587517-BDB9-4C2A-AEC9-1BFD89982E7A}</author>
    <author>tc={51022A66-00A7-4101-918E-442BF0A239C3}</author>
  </authors>
  <commentList>
    <comment ref="P12" authorId="0" shapeId="0" xr:uid="{FEC52452-6298-4041-8AC5-821E2B130D2F}">
      <text>
        <t>[线程批注]
你的Excel版本可读取此线程批注; 但如果在更新版本的Excel中打开文件，则对批注所作的任何改动都将被删除。了解详细信息: https://go.microsoft.com/fwlink/?linkid=870924
注释:
    =-56725.21875643317/1000
= -56.725</t>
      </text>
    </comment>
    <comment ref="T13" authorId="1" shapeId="0" xr:uid="{A0291EF9-4230-419C-9FAA-B094D4CEB89C}">
      <text>
        <t>[线程批注]
你的Excel版本可读取此线程批注; 但如果在更新版本的Excel中打开文件，则对批注所作的任何改动都将被删除。了解详细信息: https://go.microsoft.com/fwlink/?linkid=870924
注释:
    =-145526.5844101999/1000
=-145.53</t>
      </text>
    </comment>
    <comment ref="R14" authorId="2" shapeId="0" xr:uid="{84382AD3-E732-4D7A-BE35-C0000979E7A1}">
      <text>
        <t>[线程批注]
你的Excel版本可读取此线程批注; 但如果在更新版本的Excel中打开文件，则对批注所作的任何改动都将被删除。了解详细信息: https://go.microsoft.com/fwlink/?linkid=870924
注释:
    =-94844.65774758175/1000
=-94.845</t>
      </text>
    </comment>
    <comment ref="Q15" authorId="3" shapeId="0" xr:uid="{4BEFDFF3-A934-4120-B7DD-CE385C5B3F9C}">
      <text>
        <t>[线程批注]
你的Excel版本可读取此线程批注; 但如果在更新版本的Excel中打开文件，则对批注所作的任何改动都将被删除。了解详细信息: https://go.microsoft.com/fwlink/?linkid=870924
注释:
    =-91211.68679611557/1000
= -91.212</t>
      </text>
    </comment>
    <comment ref="Q20" authorId="4" shapeId="0" xr:uid="{AB1AEEBF-036A-40FF-B6E4-3B56D93A4F7A}">
      <text>
        <t>[线程批注]
你的Excel版本可读取此线程批注; 但如果在更新版本的Excel中打开文件，则对批注所作的任何改动都将被删除。了解详细信息: https://go.microsoft.com/fwlink/?linkid=870924
注释:
    cm = -0.021941011267852258</t>
      </text>
    </comment>
    <comment ref="R23" authorId="5" shapeId="0" xr:uid="{EBA7DF31-5DB1-45CB-86F5-8F41A7C8B72C}">
      <text>
        <t>[线程批注]
你的Excel版本可读取此线程批注; 但如果在更新版本的Excel中打开文件，则对批注所作的任何改动都将被删除。了解详细信息: https://go.microsoft.com/fwlink/?linkid=870924
注释:
    cm = 2.7110149529975276E-4</t>
      </text>
    </comment>
    <comment ref="T27" authorId="6" shapeId="0" xr:uid="{21678BF1-E551-41F5-BB64-BAB3D99822DD}">
      <text>
        <t>[线程批注]
你的Excel版本可读取此线程批注; 但如果在更新版本的Excel中打开文件，则对批注所作的任何改动都将被删除。了解详细信息: https://go.microsoft.com/fwlink/?linkid=870924
注释:
    17068.97744931136
答复:
     (-0.03453)</t>
      </text>
    </comment>
    <comment ref="Z27" authorId="7" shapeId="0" xr:uid="{E7587517-BDB9-4C2A-AEC9-1BFD89982E7A}">
      <text>
        <t>[线程批注]
你的Excel版本可读取此线程批注; 但如果在更新版本的Excel中打开文件，则对批注所作的任何改动都将被删除。了解详细信息: https://go.microsoft.com/fwlink/?linkid=870924
注释:
    F_tiploss=0.5 but should be higher</t>
      </text>
    </comment>
    <comment ref="Z38" authorId="8" shapeId="0" xr:uid="{51022A66-00A7-4101-918E-442BF0A239C3}">
      <text>
        <t xml:space="preserve">[线程批注]
你的Excel版本可读取此线程批注; 但如果在更新版本的Excel中打开文件，则对批注所作的任何改动都将被删除。了解详细信息: https://go.microsoft.com/fwlink/?linkid=870924
注释:
    F_tiploss=0.7, a bit high
</t>
      </text>
    </comment>
  </commentList>
</comments>
</file>

<file path=xl/sharedStrings.xml><?xml version="1.0" encoding="utf-8"?>
<sst xmlns="http://schemas.openxmlformats.org/spreadsheetml/2006/main" count="104" uniqueCount="58">
  <si>
    <t>TSR matrix:</t>
  </si>
  <si>
    <t>TSR</t>
  </si>
  <si>
    <t>w</t>
  </si>
  <si>
    <t>U0</t>
  </si>
  <si>
    <t>Moment Matrix:</t>
  </si>
  <si>
    <t>δFn*(kN)</t>
  </si>
  <si>
    <t xml:space="preserve">δFt*(kN) </t>
  </si>
  <si>
    <t>R</t>
  </si>
  <si>
    <t>δMtangential</t>
  </si>
  <si>
    <t>Avg Mtan kNm</t>
  </si>
  <si>
    <t>Avg Mn</t>
  </si>
  <si>
    <t>Segregated flow+ Unsteady:</t>
  </si>
  <si>
    <t>Total Moment
(kNm)</t>
  </si>
  <si>
    <t>Midle</t>
  </si>
  <si>
    <t>w rad/s</t>
  </si>
  <si>
    <t>Rated U0</t>
  </si>
  <si>
    <t>2m/s</t>
  </si>
  <si>
    <t>Rated w</t>
  </si>
  <si>
    <t>1.26rad/s</t>
  </si>
  <si>
    <t>Rated C_Moment</t>
  </si>
  <si>
    <t>M_net=a*Midle+b*Mthrust</t>
  </si>
  <si>
    <t>M_thrust kN</t>
  </si>
  <si>
    <t>Mthrust_trial
 kN</t>
  </si>
  <si>
    <t>Mthrust_
original</t>
  </si>
  <si>
    <t>Mthrust_
trial</t>
  </si>
  <si>
    <t>b_trial=</t>
  </si>
  <si>
    <t>M_idle</t>
  </si>
  <si>
    <t xml:space="preserve">M_idle_trial = </t>
  </si>
  <si>
    <t xml:space="preserve">M_idle_original = </t>
  </si>
  <si>
    <t>Shaft Moment_trial</t>
  </si>
  <si>
    <t>a_trial=</t>
  </si>
  <si>
    <r>
      <rPr>
        <b/>
        <sz val="11"/>
        <color theme="1"/>
        <rFont val="等线"/>
        <charset val="134"/>
        <scheme val="minor"/>
      </rPr>
      <t>β</t>
    </r>
    <r>
      <rPr>
        <sz val="11"/>
        <color theme="1"/>
        <rFont val="等线"/>
        <charset val="134"/>
        <scheme val="minor"/>
      </rPr>
      <t>=M/</t>
    </r>
    <r>
      <rPr>
        <sz val="11"/>
        <color theme="1"/>
        <rFont val="等线"/>
        <family val="2"/>
        <scheme val="minor"/>
      </rPr>
      <t>ω^2</t>
    </r>
  </si>
  <si>
    <t>Rated P</t>
  </si>
  <si>
    <r>
      <t>P</t>
    </r>
    <r>
      <rPr>
        <b/>
        <sz val="8"/>
        <color theme="1"/>
        <rFont val="等线"/>
        <charset val="134"/>
        <scheme val="minor"/>
      </rPr>
      <t>loss</t>
    </r>
    <r>
      <rPr>
        <sz val="8"/>
        <color theme="1"/>
        <rFont val="等线"/>
        <charset val="134"/>
        <scheme val="minor"/>
      </rPr>
      <t>=</t>
    </r>
    <r>
      <rPr>
        <sz val="11"/>
        <color theme="1"/>
        <rFont val="等线"/>
        <charset val="134"/>
        <scheme val="minor"/>
      </rPr>
      <t>12%P</t>
    </r>
  </si>
  <si>
    <t>Sum Mtan kNm</t>
  </si>
  <si>
    <r>
      <rPr>
        <b/>
        <sz val="11"/>
        <color theme="1"/>
        <rFont val="等线"/>
        <charset val="134"/>
        <scheme val="minor"/>
      </rPr>
      <t>M</t>
    </r>
    <r>
      <rPr>
        <b/>
        <sz val="8"/>
        <color theme="1"/>
        <rFont val="等线"/>
        <charset val="134"/>
        <scheme val="minor"/>
      </rPr>
      <t>inertia</t>
    </r>
    <r>
      <rPr>
        <sz val="11"/>
        <color theme="1"/>
        <rFont val="等线"/>
        <family val="2"/>
        <scheme val="minor"/>
      </rPr>
      <t>=P</t>
    </r>
    <r>
      <rPr>
        <sz val="8"/>
        <color theme="1"/>
        <rFont val="等线"/>
        <charset val="134"/>
        <scheme val="minor"/>
      </rPr>
      <t>loss</t>
    </r>
    <r>
      <rPr>
        <sz val="11"/>
        <color theme="1"/>
        <rFont val="等线"/>
        <family val="2"/>
        <scheme val="minor"/>
      </rPr>
      <t>/ω</t>
    </r>
  </si>
  <si>
    <r>
      <t>C_M</t>
    </r>
    <r>
      <rPr>
        <b/>
        <sz val="8"/>
        <color theme="1"/>
        <rFont val="等线"/>
        <charset val="134"/>
        <scheme val="minor"/>
      </rPr>
      <t>tan</t>
    </r>
  </si>
  <si>
    <t>Rated M</t>
  </si>
  <si>
    <t>δMnormal</t>
  </si>
  <si>
    <t>Sum Mn</t>
  </si>
  <si>
    <t>Calculate M_ineirtia</t>
  </si>
  <si>
    <t>Calculate M_drive:</t>
  </si>
  <si>
    <t>w=1rad/s</t>
  </si>
  <si>
    <t>w=1.26
rad/s</t>
  </si>
  <si>
    <t>Sum Fn</t>
  </si>
  <si>
    <t>Minertia</t>
  </si>
  <si>
    <t>Mnet</t>
  </si>
  <si>
    <t>w=1.335
rad/s</t>
  </si>
  <si>
    <t>radii</t>
  </si>
  <si>
    <t>a'_corr</t>
  </si>
  <si>
    <t>a'</t>
  </si>
  <si>
    <t>Mdriven</t>
  </si>
  <si>
    <t>Mnet (simul)</t>
  </si>
  <si>
    <t>f</t>
  </si>
  <si>
    <t>a_corr</t>
  </si>
  <si>
    <t>Validation Eq: M_net(U0,w)=M_inertia(0,w)+M_driving(U0,0)</t>
  </si>
  <si>
    <r>
      <t xml:space="preserve">DOI: </t>
    </r>
    <r>
      <rPr>
        <u/>
        <sz val="11"/>
        <color theme="1"/>
        <rFont val="等线"/>
        <charset val="134"/>
        <scheme val="minor"/>
      </rPr>
      <t>10.6084/m9.figshare.29022083</t>
    </r>
  </si>
  <si>
    <t>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</si>
</sst>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"/>
    <numFmt numFmtId="165" formatCode="0.000"/>
    <numFmt numFmtId="166" formatCode="0.00000"/>
    <numFmt numFmtId="167" formatCode="0.0000000"/>
    <numFmt numFmtId="168" formatCode="0.0%"/>
  </numFmts>
  <fonts count="22" x14ac:knownFonts="1">
    <font>
      <sz val="11"/>
      <color theme="1"/>
      <name val="等线"/>
      <family val="2"/>
      <scheme val="minor"/>
    </font>
    <font>
      <b/>
      <sz val="11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FF0000"/>
      <name val="等线"/>
      <charset val="134"/>
      <scheme val="minor"/>
    </font>
    <font>
      <sz val="11"/>
      <color theme="0" tint="-0.1499984740745262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rgb="FFFF0000"/>
      <name val="等线"/>
      <family val="2"/>
      <scheme val="minor"/>
    </font>
    <font>
      <sz val="9"/>
      <color theme="1"/>
      <name val="等线"/>
      <charset val="134"/>
      <scheme val="minor"/>
    </font>
    <font>
      <b/>
      <sz val="11"/>
      <name val="等线"/>
      <charset val="134"/>
      <scheme val="minor"/>
    </font>
    <font>
      <sz val="11"/>
      <name val="等线"/>
      <charset val="134"/>
      <scheme val="minor"/>
    </font>
    <font>
      <sz val="11"/>
      <color theme="0" tint="-0.249977111117893"/>
      <name val="等线"/>
      <family val="2"/>
      <scheme val="minor"/>
    </font>
    <font>
      <b/>
      <sz val="11"/>
      <color theme="1"/>
      <name val="等线"/>
      <family val="2"/>
      <charset val="134"/>
      <scheme val="minor"/>
    </font>
    <font>
      <sz val="11"/>
      <color rgb="FF000000"/>
      <name val="等线"/>
      <charset val="134"/>
      <scheme val="minor"/>
    </font>
    <font>
      <sz val="11"/>
      <color theme="0" tint="-0.14999847407452621"/>
      <name val="等线"/>
      <family val="2"/>
      <scheme val="minor"/>
    </font>
    <font>
      <b/>
      <sz val="10"/>
      <color theme="1"/>
      <name val="等线"/>
      <charset val="134"/>
      <scheme val="minor"/>
    </font>
    <font>
      <b/>
      <sz val="11"/>
      <color theme="1"/>
      <name val="等线"/>
      <family val="2"/>
      <scheme val="minor"/>
    </font>
    <font>
      <sz val="11"/>
      <name val="等线"/>
      <family val="2"/>
      <charset val="134"/>
      <scheme val="minor"/>
    </font>
    <font>
      <b/>
      <sz val="11"/>
      <color theme="1"/>
      <name val="Times New Roman"/>
      <family val="1"/>
    </font>
    <font>
      <b/>
      <sz val="11"/>
      <color rgb="FF000000"/>
      <name val="等线"/>
      <charset val="134"/>
      <scheme val="minor"/>
    </font>
    <font>
      <sz val="8"/>
      <color theme="1"/>
      <name val="等线"/>
      <charset val="134"/>
      <scheme val="minor"/>
    </font>
    <font>
      <b/>
      <sz val="8"/>
      <color theme="1"/>
      <name val="等线"/>
      <charset val="134"/>
      <scheme val="minor"/>
    </font>
    <font>
      <u/>
      <sz val="11"/>
      <color theme="1"/>
      <name val="等线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5" fillId="0" borderId="0" applyFont="0" applyFill="0" applyBorder="0" applyAlignment="0" applyProtection="0"/>
  </cellStyleXfs>
  <cellXfs count="205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9" xfId="0" applyBorder="1"/>
    <xf numFmtId="0" fontId="0" fillId="0" borderId="8" xfId="0" applyBorder="1"/>
    <xf numFmtId="0" fontId="1" fillId="0" borderId="4" xfId="0" applyFont="1" applyBorder="1" applyAlignment="1">
      <alignment horizontal="center"/>
    </xf>
    <xf numFmtId="0" fontId="0" fillId="0" borderId="1" xfId="0" applyBorder="1"/>
    <xf numFmtId="0" fontId="0" fillId="0" borderId="11" xfId="0" applyBorder="1"/>
    <xf numFmtId="0" fontId="0" fillId="0" borderId="4" xfId="0" applyBorder="1" applyAlignment="1">
      <alignment horizontal="right"/>
    </xf>
    <xf numFmtId="2" fontId="0" fillId="0" borderId="7" xfId="0" applyNumberFormat="1" applyBorder="1"/>
    <xf numFmtId="2" fontId="2" fillId="0" borderId="7" xfId="0" applyNumberFormat="1" applyFont="1" applyBorder="1"/>
    <xf numFmtId="0" fontId="0" fillId="0" borderId="4" xfId="0" applyBorder="1" applyAlignment="1">
      <alignment horizontal="center"/>
    </xf>
    <xf numFmtId="2" fontId="0" fillId="0" borderId="9" xfId="0" applyNumberFormat="1" applyBorder="1"/>
    <xf numFmtId="2" fontId="0" fillId="0" borderId="5" xfId="0" applyNumberFormat="1" applyBorder="1"/>
    <xf numFmtId="2" fontId="0" fillId="0" borderId="7" xfId="0" applyNumberFormat="1" applyBorder="1" applyAlignment="1">
      <alignment horizontal="right"/>
    </xf>
    <xf numFmtId="165" fontId="0" fillId="0" borderId="8" xfId="0" applyNumberFormat="1" applyBorder="1"/>
    <xf numFmtId="165" fontId="0" fillId="0" borderId="3" xfId="0" applyNumberFormat="1" applyBorder="1"/>
    <xf numFmtId="165" fontId="0" fillId="0" borderId="3" xfId="0" applyNumberFormat="1" applyBorder="1" applyAlignment="1">
      <alignment horizontal="right"/>
    </xf>
    <xf numFmtId="165" fontId="0" fillId="0" borderId="9" xfId="0" applyNumberFormat="1" applyBorder="1"/>
    <xf numFmtId="165" fontId="2" fillId="0" borderId="7" xfId="0" applyNumberFormat="1" applyFont="1" applyBorder="1"/>
    <xf numFmtId="165" fontId="2" fillId="0" borderId="9" xfId="0" applyNumberFormat="1" applyFont="1" applyBorder="1"/>
    <xf numFmtId="0" fontId="0" fillId="0" borderId="0" xfId="0" applyAlignment="1">
      <alignment horizontal="right"/>
    </xf>
    <xf numFmtId="0" fontId="1" fillId="0" borderId="0" xfId="0" applyFont="1"/>
    <xf numFmtId="0" fontId="0" fillId="0" borderId="12" xfId="0" applyBorder="1"/>
    <xf numFmtId="0" fontId="0" fillId="0" borderId="13" xfId="0" applyBorder="1"/>
    <xf numFmtId="2" fontId="1" fillId="0" borderId="0" xfId="0" applyNumberFormat="1" applyFont="1"/>
    <xf numFmtId="164" fontId="0" fillId="0" borderId="0" xfId="0" applyNumberFormat="1"/>
    <xf numFmtId="0" fontId="0" fillId="0" borderId="14" xfId="0" applyBorder="1"/>
    <xf numFmtId="0" fontId="0" fillId="0" borderId="15" xfId="0" applyBorder="1"/>
    <xf numFmtId="0" fontId="0" fillId="0" borderId="16" xfId="0" applyBorder="1"/>
    <xf numFmtId="2" fontId="2" fillId="2" borderId="7" xfId="0" applyNumberFormat="1" applyFont="1" applyFill="1" applyBorder="1"/>
    <xf numFmtId="2" fontId="2" fillId="2" borderId="3" xfId="0" applyNumberFormat="1" applyFont="1" applyFill="1" applyBorder="1"/>
    <xf numFmtId="2" fontId="2" fillId="2" borderId="9" xfId="0" applyNumberFormat="1" applyFont="1" applyFill="1" applyBorder="1"/>
    <xf numFmtId="2" fontId="2" fillId="4" borderId="7" xfId="0" applyNumberFormat="1" applyFont="1" applyFill="1" applyBorder="1"/>
    <xf numFmtId="2" fontId="2" fillId="0" borderId="6" xfId="0" applyNumberFormat="1" applyFont="1" applyBorder="1"/>
    <xf numFmtId="2" fontId="2" fillId="0" borderId="8" xfId="0" applyNumberFormat="1" applyFont="1" applyBorder="1"/>
    <xf numFmtId="2" fontId="12" fillId="0" borderId="7" xfId="0" applyNumberFormat="1" applyFont="1" applyBorder="1"/>
    <xf numFmtId="2" fontId="2" fillId="5" borderId="7" xfId="0" applyNumberFormat="1" applyFont="1" applyFill="1" applyBorder="1"/>
    <xf numFmtId="2" fontId="2" fillId="5" borderId="3" xfId="0" applyNumberFormat="1" applyFont="1" applyFill="1" applyBorder="1"/>
    <xf numFmtId="2" fontId="2" fillId="5" borderId="3" xfId="0" applyNumberFormat="1" applyFont="1" applyFill="1" applyBorder="1" applyAlignment="1">
      <alignment horizontal="right"/>
    </xf>
    <xf numFmtId="2" fontId="2" fillId="5" borderId="9" xfId="0" applyNumberFormat="1" applyFont="1" applyFill="1" applyBorder="1"/>
    <xf numFmtId="165" fontId="1" fillId="0" borderId="0" xfId="0" applyNumberFormat="1" applyFont="1"/>
    <xf numFmtId="0" fontId="1" fillId="0" borderId="5" xfId="0" applyFont="1" applyBorder="1"/>
    <xf numFmtId="0" fontId="1" fillId="0" borderId="4" xfId="0" applyFont="1" applyBorder="1"/>
    <xf numFmtId="2" fontId="0" fillId="0" borderId="0" xfId="0" applyNumberFormat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/>
    </xf>
    <xf numFmtId="2" fontId="0" fillId="4" borderId="0" xfId="0" applyNumberFormat="1" applyFill="1" applyAlignment="1">
      <alignment horizontal="center" vertical="center"/>
    </xf>
    <xf numFmtId="2" fontId="13" fillId="4" borderId="0" xfId="0" applyNumberFormat="1" applyFont="1" applyFill="1" applyAlignment="1">
      <alignment horizontal="center" vertical="center"/>
    </xf>
    <xf numFmtId="2" fontId="1" fillId="0" borderId="0" xfId="0" applyNumberFormat="1" applyFont="1" applyAlignment="1">
      <alignment horizontal="left"/>
    </xf>
    <xf numFmtId="2" fontId="13" fillId="0" borderId="0" xfId="0" applyNumberFormat="1" applyFont="1" applyAlignment="1">
      <alignment horizontal="center" vertical="center"/>
    </xf>
    <xf numFmtId="0" fontId="1" fillId="0" borderId="8" xfId="0" applyFont="1" applyBorder="1"/>
    <xf numFmtId="2" fontId="0" fillId="0" borderId="0" xfId="0" applyNumberFormat="1" applyAlignment="1">
      <alignment horizontal="center"/>
    </xf>
    <xf numFmtId="2" fontId="13" fillId="0" borderId="0" xfId="0" applyNumberFormat="1" applyFont="1" applyAlignment="1">
      <alignment horizontal="center"/>
    </xf>
    <xf numFmtId="165" fontId="1" fillId="0" borderId="4" xfId="0" applyNumberFormat="1" applyFont="1" applyBorder="1"/>
    <xf numFmtId="165" fontId="1" fillId="0" borderId="2" xfId="0" applyNumberFormat="1" applyFont="1" applyBorder="1"/>
    <xf numFmtId="165" fontId="1" fillId="0" borderId="5" xfId="0" applyNumberFormat="1" applyFont="1" applyBorder="1"/>
    <xf numFmtId="2" fontId="0" fillId="0" borderId="6" xfId="0" applyNumberFormat="1" applyBorder="1" applyAlignment="1">
      <alignment horizontal="center" vertical="center"/>
    </xf>
    <xf numFmtId="2" fontId="0" fillId="0" borderId="7" xfId="0" applyNumberFormat="1" applyBorder="1" applyAlignment="1">
      <alignment horizontal="center" vertical="center"/>
    </xf>
    <xf numFmtId="2" fontId="0" fillId="4" borderId="6" xfId="0" applyNumberFormat="1" applyFill="1" applyBorder="1" applyAlignment="1">
      <alignment horizontal="center" vertical="center"/>
    </xf>
    <xf numFmtId="2" fontId="0" fillId="4" borderId="7" xfId="0" applyNumberFormat="1" applyFill="1" applyBorder="1" applyAlignment="1">
      <alignment horizontal="center" vertical="center"/>
    </xf>
    <xf numFmtId="2" fontId="0" fillId="0" borderId="8" xfId="0" applyNumberFormat="1" applyBorder="1" applyAlignment="1">
      <alignment horizontal="center" vertical="center"/>
    </xf>
    <xf numFmtId="2" fontId="0" fillId="0" borderId="9" xfId="0" applyNumberFormat="1" applyBorder="1" applyAlignment="1">
      <alignment horizontal="center" vertical="center"/>
    </xf>
    <xf numFmtId="2" fontId="0" fillId="0" borderId="4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5" xfId="0" applyNumberFormat="1" applyBorder="1" applyAlignment="1">
      <alignment horizontal="center" vertical="center"/>
    </xf>
    <xf numFmtId="2" fontId="13" fillId="4" borderId="6" xfId="0" applyNumberFormat="1" applyFont="1" applyFill="1" applyBorder="1" applyAlignment="1">
      <alignment horizontal="center" vertical="center"/>
    </xf>
    <xf numFmtId="2" fontId="13" fillId="4" borderId="7" xfId="0" applyNumberFormat="1" applyFont="1" applyFill="1" applyBorder="1" applyAlignment="1">
      <alignment horizontal="center" vertical="center"/>
    </xf>
    <xf numFmtId="2" fontId="13" fillId="0" borderId="6" xfId="0" applyNumberFormat="1" applyFont="1" applyBorder="1" applyAlignment="1">
      <alignment horizontal="center" vertical="center"/>
    </xf>
    <xf numFmtId="2" fontId="13" fillId="0" borderId="7" xfId="0" applyNumberFormat="1" applyFont="1" applyBorder="1" applyAlignment="1">
      <alignment horizontal="center" vertical="center"/>
    </xf>
    <xf numFmtId="2" fontId="4" fillId="4" borderId="6" xfId="0" applyNumberFormat="1" applyFont="1" applyFill="1" applyBorder="1" applyAlignment="1">
      <alignment horizontal="center" vertical="center"/>
    </xf>
    <xf numFmtId="2" fontId="4" fillId="4" borderId="0" xfId="0" applyNumberFormat="1" applyFont="1" applyFill="1" applyAlignment="1">
      <alignment horizontal="center" vertical="center"/>
    </xf>
    <xf numFmtId="2" fontId="4" fillId="4" borderId="7" xfId="0" applyNumberFormat="1" applyFont="1" applyFill="1" applyBorder="1" applyAlignment="1">
      <alignment horizontal="center" vertical="center"/>
    </xf>
    <xf numFmtId="0" fontId="13" fillId="0" borderId="0" xfId="0" applyFont="1"/>
    <xf numFmtId="2" fontId="1" fillId="0" borderId="0" xfId="0" applyNumberFormat="1" applyFont="1" applyAlignment="1">
      <alignment horizontal="center" vertical="center"/>
    </xf>
    <xf numFmtId="2" fontId="13" fillId="0" borderId="3" xfId="0" applyNumberFormat="1" applyFont="1" applyBorder="1" applyAlignment="1">
      <alignment horizontal="center" vertical="center"/>
    </xf>
    <xf numFmtId="2" fontId="1" fillId="4" borderId="0" xfId="0" applyNumberFormat="1" applyFont="1" applyFill="1" applyAlignment="1">
      <alignment horizontal="center" vertical="center"/>
    </xf>
    <xf numFmtId="2" fontId="9" fillId="0" borderId="7" xfId="0" applyNumberFormat="1" applyFont="1" applyBorder="1"/>
    <xf numFmtId="2" fontId="1" fillId="4" borderId="6" xfId="0" applyNumberFormat="1" applyFont="1" applyFill="1" applyBorder="1"/>
    <xf numFmtId="2" fontId="2" fillId="4" borderId="6" xfId="0" applyNumberFormat="1" applyFont="1" applyFill="1" applyBorder="1"/>
    <xf numFmtId="0" fontId="0" fillId="0" borderId="3" xfId="0" applyBorder="1" applyAlignment="1">
      <alignment horizontal="center"/>
    </xf>
    <xf numFmtId="165" fontId="0" fillId="0" borderId="6" xfId="0" applyNumberFormat="1" applyBorder="1" applyAlignment="1">
      <alignment horizontal="center"/>
    </xf>
    <xf numFmtId="165" fontId="0" fillId="0" borderId="8" xfId="0" applyNumberFormat="1" applyBorder="1" applyAlignment="1">
      <alignment horizontal="center"/>
    </xf>
    <xf numFmtId="165" fontId="0" fillId="0" borderId="3" xfId="0" applyNumberFormat="1" applyBorder="1" applyAlignment="1">
      <alignment horizontal="center"/>
    </xf>
    <xf numFmtId="2" fontId="8" fillId="0" borderId="7" xfId="0" applyNumberFormat="1" applyFont="1" applyBorder="1"/>
    <xf numFmtId="165" fontId="8" fillId="0" borderId="3" xfId="0" applyNumberFormat="1" applyFont="1" applyBorder="1" applyAlignment="1">
      <alignment horizontal="right"/>
    </xf>
    <xf numFmtId="165" fontId="1" fillId="0" borderId="3" xfId="0" applyNumberFormat="1" applyFont="1" applyBorder="1"/>
    <xf numFmtId="2" fontId="18" fillId="0" borderId="7" xfId="0" applyNumberFormat="1" applyFont="1" applyBorder="1"/>
    <xf numFmtId="2" fontId="2" fillId="0" borderId="2" xfId="0" applyNumberFormat="1" applyFont="1" applyBorder="1"/>
    <xf numFmtId="2" fontId="2" fillId="0" borderId="5" xfId="0" applyNumberFormat="1" applyFont="1" applyBorder="1"/>
    <xf numFmtId="2" fontId="0" fillId="0" borderId="3" xfId="0" applyNumberFormat="1" applyBorder="1"/>
    <xf numFmtId="0" fontId="1" fillId="0" borderId="3" xfId="0" applyFont="1" applyBorder="1"/>
    <xf numFmtId="0" fontId="17" fillId="0" borderId="2" xfId="0" applyFont="1" applyBorder="1" applyAlignment="1">
      <alignment horizontal="center"/>
    </xf>
    <xf numFmtId="0" fontId="15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7" xfId="0" applyFont="1" applyBorder="1"/>
    <xf numFmtId="0" fontId="1" fillId="0" borderId="7" xfId="0" applyFont="1" applyBorder="1" applyAlignment="1">
      <alignment horizontal="center"/>
    </xf>
    <xf numFmtId="167" fontId="0" fillId="0" borderId="7" xfId="0" applyNumberFormat="1" applyBorder="1"/>
    <xf numFmtId="0" fontId="1" fillId="0" borderId="2" xfId="0" applyFont="1" applyBorder="1" applyAlignment="1">
      <alignment horizontal="center"/>
    </xf>
    <xf numFmtId="0" fontId="1" fillId="7" borderId="7" xfId="0" applyFont="1" applyFill="1" applyBorder="1"/>
    <xf numFmtId="165" fontId="2" fillId="7" borderId="7" xfId="0" applyNumberFormat="1" applyFont="1" applyFill="1" applyBorder="1"/>
    <xf numFmtId="165" fontId="0" fillId="0" borderId="18" xfId="0" applyNumberFormat="1" applyBorder="1"/>
    <xf numFmtId="2" fontId="1" fillId="0" borderId="3" xfId="0" applyNumberFormat="1" applyFont="1" applyBorder="1" applyAlignment="1">
      <alignment horizontal="center"/>
    </xf>
    <xf numFmtId="2" fontId="17" fillId="0" borderId="2" xfId="0" applyNumberFormat="1" applyFont="1" applyBorder="1" applyAlignment="1">
      <alignment horizontal="center"/>
    </xf>
    <xf numFmtId="2" fontId="15" fillId="0" borderId="2" xfId="0" applyNumberFormat="1" applyFont="1" applyBorder="1" applyAlignment="1">
      <alignment horizontal="center"/>
    </xf>
    <xf numFmtId="2" fontId="0" fillId="0" borderId="3" xfId="0" applyNumberFormat="1" applyBorder="1" applyAlignment="1">
      <alignment horizontal="center"/>
    </xf>
    <xf numFmtId="166" fontId="9" fillId="0" borderId="18" xfId="0" applyNumberFormat="1" applyFont="1" applyBorder="1"/>
    <xf numFmtId="165" fontId="0" fillId="0" borderId="6" xfId="0" applyNumberFormat="1" applyBorder="1"/>
    <xf numFmtId="166" fontId="0" fillId="0" borderId="18" xfId="0" applyNumberFormat="1" applyBorder="1" applyAlignment="1">
      <alignment horizontal="center"/>
    </xf>
    <xf numFmtId="166" fontId="0" fillId="0" borderId="18" xfId="0" applyNumberFormat="1" applyBorder="1" applyAlignment="1">
      <alignment horizontal="right"/>
    </xf>
    <xf numFmtId="2" fontId="2" fillId="0" borderId="4" xfId="0" applyNumberFormat="1" applyFont="1" applyBorder="1"/>
    <xf numFmtId="2" fontId="9" fillId="0" borderId="20" xfId="0" applyNumberFormat="1" applyFont="1" applyBorder="1"/>
    <xf numFmtId="165" fontId="0" fillId="0" borderId="13" xfId="0" applyNumberFormat="1" applyBorder="1"/>
    <xf numFmtId="2" fontId="2" fillId="0" borderId="13" xfId="0" applyNumberFormat="1" applyFont="1" applyBorder="1"/>
    <xf numFmtId="2" fontId="0" fillId="0" borderId="13" xfId="0" applyNumberFormat="1" applyBorder="1"/>
    <xf numFmtId="2" fontId="12" fillId="0" borderId="13" xfId="0" applyNumberFormat="1" applyFont="1" applyBorder="1"/>
    <xf numFmtId="2" fontId="9" fillId="0" borderId="13" xfId="0" applyNumberFormat="1" applyFont="1" applyBorder="1"/>
    <xf numFmtId="2" fontId="2" fillId="4" borderId="13" xfId="0" applyNumberFormat="1" applyFont="1" applyFill="1" applyBorder="1"/>
    <xf numFmtId="2" fontId="2" fillId="5" borderId="13" xfId="0" applyNumberFormat="1" applyFont="1" applyFill="1" applyBorder="1"/>
    <xf numFmtId="0" fontId="0" fillId="0" borderId="10" xfId="0" applyBorder="1" applyAlignment="1">
      <alignment horizontal="right"/>
    </xf>
    <xf numFmtId="0" fontId="0" fillId="0" borderId="11" xfId="0" applyBorder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15" xfId="0" applyFont="1" applyBorder="1" applyAlignment="1">
      <alignment horizontal="left"/>
    </xf>
    <xf numFmtId="0" fontId="7" fillId="0" borderId="5" xfId="0" applyFont="1" applyBorder="1" applyAlignment="1">
      <alignment horizontal="center" vertical="top"/>
    </xf>
    <xf numFmtId="0" fontId="7" fillId="0" borderId="9" xfId="0" applyFont="1" applyBorder="1" applyAlignment="1">
      <alignment horizontal="center" vertical="top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1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 wrapText="1"/>
    </xf>
    <xf numFmtId="0" fontId="14" fillId="0" borderId="7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0" xfId="0" applyBorder="1"/>
    <xf numFmtId="0" fontId="0" fillId="0" borderId="21" xfId="0" applyBorder="1"/>
    <xf numFmtId="0" fontId="0" fillId="0" borderId="0" xfId="0" applyBorder="1" applyAlignment="1">
      <alignment horizontal="center" vertical="center"/>
    </xf>
    <xf numFmtId="0" fontId="10" fillId="0" borderId="0" xfId="0" applyFont="1" applyBorder="1"/>
    <xf numFmtId="2" fontId="2" fillId="5" borderId="0" xfId="0" applyNumberFormat="1" applyFont="1" applyFill="1" applyBorder="1"/>
    <xf numFmtId="2" fontId="2" fillId="2" borderId="0" xfId="0" applyNumberFormat="1" applyFont="1" applyFill="1" applyBorder="1"/>
    <xf numFmtId="165" fontId="0" fillId="0" borderId="0" xfId="0" applyNumberFormat="1" applyBorder="1"/>
    <xf numFmtId="0" fontId="7" fillId="0" borderId="22" xfId="0" applyFont="1" applyBorder="1" applyAlignment="1">
      <alignment horizontal="center" vertical="top" wrapText="1"/>
    </xf>
    <xf numFmtId="0" fontId="7" fillId="0" borderId="21" xfId="0" applyFont="1" applyBorder="1" applyAlignment="1">
      <alignment horizontal="center" vertical="top"/>
    </xf>
    <xf numFmtId="0" fontId="0" fillId="0" borderId="22" xfId="0" applyBorder="1" applyAlignment="1">
      <alignment horizontal="right"/>
    </xf>
    <xf numFmtId="2" fontId="2" fillId="0" borderId="0" xfId="0" applyNumberFormat="1" applyFont="1" applyBorder="1"/>
    <xf numFmtId="2" fontId="2" fillId="0" borderId="0" xfId="0" applyNumberFormat="1" applyFont="1" applyBorder="1" applyAlignment="1">
      <alignment horizontal="right"/>
    </xf>
    <xf numFmtId="2" fontId="0" fillId="0" borderId="0" xfId="0" applyNumberFormat="1" applyBorder="1"/>
    <xf numFmtId="2" fontId="3" fillId="0" borderId="0" xfId="0" applyNumberFormat="1" applyFont="1" applyBorder="1"/>
    <xf numFmtId="2" fontId="0" fillId="0" borderId="0" xfId="0" applyNumberFormat="1" applyBorder="1" applyAlignment="1">
      <alignment horizontal="right"/>
    </xf>
    <xf numFmtId="2" fontId="9" fillId="0" borderId="0" xfId="0" applyNumberFormat="1" applyFont="1" applyBorder="1"/>
    <xf numFmtId="2" fontId="9" fillId="0" borderId="0" xfId="0" applyNumberFormat="1" applyFont="1" applyBorder="1" applyAlignment="1">
      <alignment horizontal="right"/>
    </xf>
    <xf numFmtId="2" fontId="2" fillId="4" borderId="0" xfId="0" applyNumberFormat="1" applyFont="1" applyFill="1" applyBorder="1"/>
    <xf numFmtId="2" fontId="1" fillId="4" borderId="0" xfId="0" applyNumberFormat="1" applyFont="1" applyFill="1" applyBorder="1"/>
    <xf numFmtId="2" fontId="0" fillId="4" borderId="0" xfId="0" applyNumberFormat="1" applyFill="1" applyBorder="1"/>
    <xf numFmtId="2" fontId="12" fillId="0" borderId="0" xfId="0" applyNumberFormat="1" applyFont="1" applyBorder="1"/>
    <xf numFmtId="2" fontId="12" fillId="4" borderId="0" xfId="0" applyNumberFormat="1" applyFont="1" applyFill="1" applyBorder="1"/>
    <xf numFmtId="2" fontId="18" fillId="4" borderId="0" xfId="0" applyNumberFormat="1" applyFont="1" applyFill="1" applyBorder="1"/>
    <xf numFmtId="2" fontId="12" fillId="0" borderId="0" xfId="0" applyNumberFormat="1" applyFont="1" applyBorder="1" applyAlignment="1">
      <alignment horizontal="right"/>
    </xf>
    <xf numFmtId="2" fontId="9" fillId="4" borderId="0" xfId="0" applyNumberFormat="1" applyFont="1" applyFill="1" applyBorder="1"/>
    <xf numFmtId="2" fontId="8" fillId="4" borderId="0" xfId="0" applyNumberFormat="1" applyFont="1" applyFill="1" applyBorder="1" applyAlignment="1">
      <alignment horizontal="right"/>
    </xf>
    <xf numFmtId="2" fontId="9" fillId="5" borderId="0" xfId="0" applyNumberFormat="1" applyFont="1" applyFill="1" applyBorder="1"/>
    <xf numFmtId="2" fontId="2" fillId="2" borderId="0" xfId="0" applyNumberFormat="1" applyFont="1" applyFill="1" applyBorder="1" applyAlignment="1">
      <alignment horizontal="right"/>
    </xf>
    <xf numFmtId="2" fontId="1" fillId="2" borderId="0" xfId="0" applyNumberFormat="1" applyFont="1" applyFill="1" applyBorder="1"/>
    <xf numFmtId="2" fontId="2" fillId="5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6" fillId="0" borderId="0" xfId="0" applyFont="1" applyBorder="1"/>
    <xf numFmtId="0" fontId="0" fillId="0" borderId="0" xfId="0" applyBorder="1" applyAlignment="1">
      <alignment horizontal="center" vertical="center"/>
    </xf>
    <xf numFmtId="165" fontId="0" fillId="0" borderId="0" xfId="0" applyNumberFormat="1" applyBorder="1" applyAlignment="1">
      <alignment horizontal="right"/>
    </xf>
    <xf numFmtId="0" fontId="1" fillId="0" borderId="0" xfId="0" applyFont="1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2" fontId="11" fillId="4" borderId="0" xfId="0" applyNumberFormat="1" applyFont="1" applyFill="1" applyBorder="1"/>
    <xf numFmtId="2" fontId="16" fillId="0" borderId="0" xfId="0" applyNumberFormat="1" applyFont="1" applyBorder="1"/>
    <xf numFmtId="2" fontId="1" fillId="0" borderId="0" xfId="0" applyNumberFormat="1" applyFont="1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2" xfId="0" applyBorder="1" applyAlignment="1">
      <alignment horizontal="center" vertical="center"/>
    </xf>
    <xf numFmtId="0" fontId="1" fillId="6" borderId="0" xfId="0" applyFont="1" applyFill="1" applyBorder="1"/>
    <xf numFmtId="0" fontId="0" fillId="0" borderId="12" xfId="0" applyBorder="1" applyAlignment="1">
      <alignment horizontal="center" vertical="center"/>
    </xf>
    <xf numFmtId="2" fontId="2" fillId="0" borderId="0" xfId="0" applyNumberFormat="1" applyFont="1" applyBorder="1" applyAlignment="1">
      <alignment horizontal="center"/>
    </xf>
    <xf numFmtId="165" fontId="0" fillId="0" borderId="0" xfId="0" applyNumberFormat="1" applyBorder="1" applyAlignment="1">
      <alignment horizontal="center"/>
    </xf>
    <xf numFmtId="0" fontId="0" fillId="6" borderId="0" xfId="0" applyFill="1" applyBorder="1"/>
    <xf numFmtId="0" fontId="1" fillId="3" borderId="0" xfId="0" applyFont="1" applyFill="1" applyBorder="1"/>
    <xf numFmtId="2" fontId="0" fillId="3" borderId="0" xfId="0" applyNumberFormat="1" applyFill="1" applyBorder="1"/>
    <xf numFmtId="2" fontId="0" fillId="0" borderId="0" xfId="0" applyNumberFormat="1" applyBorder="1" applyAlignment="1">
      <alignment horizontal="center"/>
    </xf>
    <xf numFmtId="0" fontId="8" fillId="0" borderId="0" xfId="0" applyFont="1" applyBorder="1" applyAlignment="1">
      <alignment horizontal="center" vertical="center"/>
    </xf>
    <xf numFmtId="0" fontId="0" fillId="0" borderId="22" xfId="0" applyBorder="1" applyAlignment="1">
      <alignment horizontal="center" vertical="center" wrapText="1"/>
    </xf>
    <xf numFmtId="166" fontId="9" fillId="0" borderId="0" xfId="0" applyNumberFormat="1" applyFont="1" applyBorder="1"/>
    <xf numFmtId="0" fontId="0" fillId="0" borderId="12" xfId="0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168" fontId="0" fillId="0" borderId="0" xfId="1" applyNumberFormat="1" applyFont="1" applyBorder="1"/>
    <xf numFmtId="2" fontId="8" fillId="0" borderId="0" xfId="0" applyNumberFormat="1" applyFont="1" applyBorder="1" applyAlignment="1">
      <alignment horizontal="center"/>
    </xf>
    <xf numFmtId="166" fontId="0" fillId="0" borderId="0" xfId="0" applyNumberFormat="1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/>
    <xf numFmtId="164" fontId="0" fillId="0" borderId="0" xfId="0" applyNumberForma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2">
    <cellStyle name="常规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339929</xdr:colOff>
      <xdr:row>33</xdr:row>
      <xdr:rowOff>106002</xdr:rowOff>
    </xdr:from>
    <xdr:to>
      <xdr:col>13</xdr:col>
      <xdr:colOff>374560</xdr:colOff>
      <xdr:row>44</xdr:row>
      <xdr:rowOff>82265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249DE2CA-A1DF-E85F-22D3-5849A831446E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686" t="1563" r="7829" b="-1563"/>
        <a:stretch/>
      </xdr:blipFill>
      <xdr:spPr>
        <a:xfrm>
          <a:off x="3739047" y="6112355"/>
          <a:ext cx="3610908" cy="1978382"/>
        </a:xfrm>
        <a:prstGeom prst="rect">
          <a:avLst/>
        </a:prstGeom>
      </xdr:spPr>
    </xdr:pic>
    <xdr:clientData/>
  </xdr:twoCellAnchor>
  <xdr:twoCellAnchor>
    <xdr:from>
      <xdr:col>14</xdr:col>
      <xdr:colOff>264592</xdr:colOff>
      <xdr:row>34</xdr:row>
      <xdr:rowOff>73680</xdr:rowOff>
    </xdr:from>
    <xdr:to>
      <xdr:col>19</xdr:col>
      <xdr:colOff>478651</xdr:colOff>
      <xdr:row>48</xdr:row>
      <xdr:rowOff>129121</xdr:rowOff>
    </xdr:to>
    <xdr:grpSp>
      <xdr:nvGrpSpPr>
        <xdr:cNvPr id="8" name="组合 7">
          <a:extLst>
            <a:ext uri="{FF2B5EF4-FFF2-40B4-BE49-F238E27FC236}">
              <a16:creationId xmlns:a16="http://schemas.microsoft.com/office/drawing/2014/main" id="{BD95B8EA-ADF8-6088-C7F9-9E4608B3DC56}"/>
            </a:ext>
          </a:extLst>
        </xdr:cNvPr>
        <xdr:cNvGrpSpPr/>
      </xdr:nvGrpSpPr>
      <xdr:grpSpPr>
        <a:xfrm>
          <a:off x="7648735" y="6695823"/>
          <a:ext cx="3688416" cy="2595441"/>
          <a:chOff x="6443966" y="1537611"/>
          <a:chExt cx="3380966" cy="2537333"/>
        </a:xfrm>
      </xdr:grpSpPr>
      <xdr:pic>
        <xdr:nvPicPr>
          <xdr:cNvPr id="2" name="图片 1">
            <a:extLst>
              <a:ext uri="{FF2B5EF4-FFF2-40B4-BE49-F238E27FC236}">
                <a16:creationId xmlns:a16="http://schemas.microsoft.com/office/drawing/2014/main" id="{CB46477F-5123-4B5B-E9F6-5E40A5526A6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6443966" y="1537611"/>
            <a:ext cx="3380966" cy="2537333"/>
          </a:xfrm>
          <a:prstGeom prst="rect">
            <a:avLst/>
          </a:prstGeom>
        </xdr:spPr>
      </xdr:pic>
      <xdr:cxnSp macro="">
        <xdr:nvCxnSpPr>
          <xdr:cNvPr id="5" name="直接连接符 4">
            <a:extLst>
              <a:ext uri="{FF2B5EF4-FFF2-40B4-BE49-F238E27FC236}">
                <a16:creationId xmlns:a16="http://schemas.microsoft.com/office/drawing/2014/main" id="{7CD649C0-DAAB-68E5-4EF8-545965DE22DD}"/>
              </a:ext>
            </a:extLst>
          </xdr:cNvPr>
          <xdr:cNvCxnSpPr/>
        </xdr:nvCxnSpPr>
        <xdr:spPr>
          <a:xfrm>
            <a:off x="8539989" y="2361490"/>
            <a:ext cx="0" cy="1289506"/>
          </a:xfrm>
          <a:prstGeom prst="line">
            <a:avLst/>
          </a:prstGeom>
          <a:ln w="12700">
            <a:prstDash val="sysDash"/>
          </a:ln>
        </xdr:spPr>
        <xdr:style>
          <a:lnRef idx="2">
            <a:schemeClr val="accent1"/>
          </a:lnRef>
          <a:fillRef idx="0">
            <a:schemeClr val="accent1"/>
          </a:fillRef>
          <a:effectRef idx="1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文本框 5">
            <a:extLst>
              <a:ext uri="{FF2B5EF4-FFF2-40B4-BE49-F238E27FC236}">
                <a16:creationId xmlns:a16="http://schemas.microsoft.com/office/drawing/2014/main" id="{DE868307-136F-8EFE-4E33-F3D1A4FCF6E7}"/>
              </a:ext>
            </a:extLst>
          </xdr:cNvPr>
          <xdr:cNvSpPr txBox="1"/>
        </xdr:nvSpPr>
        <xdr:spPr>
          <a:xfrm>
            <a:off x="8314698" y="3619245"/>
            <a:ext cx="193540" cy="22993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SG" sz="1000">
                <a:latin typeface="Times New Roman" panose="02020603050405020304" pitchFamily="18" charset="0"/>
                <a:cs typeface="Times New Roman" panose="02020603050405020304" pitchFamily="18" charset="0"/>
              </a:rPr>
              <a:t>5</a:t>
            </a:r>
            <a:endParaRPr lang="zh-SG" altLang="en-US" sz="1000"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  <xdr:sp macro="" textlink="">
        <xdr:nvSpPr>
          <xdr:cNvPr id="7" name="文本框 6">
            <a:extLst>
              <a:ext uri="{FF2B5EF4-FFF2-40B4-BE49-F238E27FC236}">
                <a16:creationId xmlns:a16="http://schemas.microsoft.com/office/drawing/2014/main" id="{16CE4880-BCA0-469D-8722-F67B5B1595A4}"/>
              </a:ext>
            </a:extLst>
          </xdr:cNvPr>
          <xdr:cNvSpPr txBox="1"/>
        </xdr:nvSpPr>
        <xdr:spPr>
          <a:xfrm>
            <a:off x="8493950" y="3331622"/>
            <a:ext cx="407196" cy="22993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SG" sz="1000">
                <a:solidFill>
                  <a:srgbClr val="FF0000"/>
                </a:solidFill>
                <a:latin typeface="Times New Roman" panose="02020603050405020304" pitchFamily="18" charset="0"/>
                <a:cs typeface="Times New Roman" panose="02020603050405020304" pitchFamily="18" charset="0"/>
              </a:rPr>
              <a:t>5.45</a:t>
            </a:r>
            <a:endParaRPr lang="zh-SG" altLang="en-US" sz="1000">
              <a:solidFill>
                <a:srgbClr val="FF0000"/>
              </a:solidFill>
              <a:latin typeface="Times New Roman" panose="02020603050405020304" pitchFamily="18" charset="0"/>
              <a:cs typeface="Times New Roman" panose="02020603050405020304" pitchFamily="18" charset="0"/>
            </a:endParaRPr>
          </a:p>
        </xdr:txBody>
      </xdr:sp>
    </xdr:grp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#ZHANG YIXIAO#" id="{D97AAA64-5045-4612-BA2C-3FCD70294EF5}" userId="S::YIXIAO002@e.ntu.edu.sg::55007370-014c-4a35-8baa-0a56f04df5c1" providerId="AD"/>
  <person displayName="#OKTAVIRA TRIANDANI CAHAYAPUTRI#" id="{7554F7AC-D5FC-4AE3-97CE-95B69E6375FC}" userId="S::oktavira002@e.ntu.edu.sg::6de7438e-bd35-48f5-9563-8370fcfce11f" providerId="AD"/>
</personList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P12" dT="2025-03-21T07:33:54.91" personId="{7554F7AC-D5FC-4AE3-97CE-95B69E6375FC}" id="{FEC52452-6298-4041-8AC5-821E2B130D2F}">
    <text>=-56725.21875643317/1000
= -56.725</text>
  </threadedComment>
  <threadedComment ref="T13" dT="2025-03-21T08:25:11.04" personId="{7554F7AC-D5FC-4AE3-97CE-95B69E6375FC}" id="{A0291EF9-4230-419C-9FAA-B094D4CEB89C}">
    <text>=-145526.5844101999/1000
=-145.53</text>
  </threadedComment>
  <threadedComment ref="R14" dT="2025-03-21T09:31:41.33" personId="{7554F7AC-D5FC-4AE3-97CE-95B69E6375FC}" id="{84382AD3-E732-4D7A-BE35-C0000979E7A1}">
    <text>=-94844.65774758175/1000
=-94.845</text>
  </threadedComment>
  <threadedComment ref="Q15" dT="2025-03-21T09:56:46.94" personId="{7554F7AC-D5FC-4AE3-97CE-95B69E6375FC}" id="{4BEFDFF3-A934-4120-B7DD-CE385C5B3F9C}">
    <text>=-91211.68679611557/1000
= -91.212</text>
  </threadedComment>
  <threadedComment ref="Q20" dT="2025-04-03T09:15:48.24" personId="{7554F7AC-D5FC-4AE3-97CE-95B69E6375FC}" id="{AB1AEEBF-036A-40FF-B6E4-3B56D93A4F7A}">
    <text>cm = -0.021941011267852258</text>
  </threadedComment>
  <threadedComment ref="R23" dT="2025-04-03T09:12:35.53" personId="{7554F7AC-D5FC-4AE3-97CE-95B69E6375FC}" id="{EBA7DF31-5DB1-45CB-86F5-8F41A7C8B72C}">
    <text>cm = 2.7110149529975276E-4</text>
  </threadedComment>
  <threadedComment ref="T27" dT="2025-03-18T09:41:05.56" personId="{7554F7AC-D5FC-4AE3-97CE-95B69E6375FC}" id="{21678BF1-E551-41F5-BB64-BAB3D99822DD}">
    <text>17068.97744931136</text>
  </threadedComment>
  <threadedComment ref="T27" dT="2025-03-19T10:10:11.08" personId="{D97AAA64-5045-4612-BA2C-3FCD70294EF5}" id="{EF10C78C-E009-4958-8234-8D5A514D7CCD}" parentId="{21678BF1-E551-41F5-BB64-BAB3D99822DD}">
    <text xml:space="preserve"> (-0.03453)</text>
  </threadedComment>
  <threadedComment ref="Z27" dT="2025-04-18T11:11:22.45" personId="{D97AAA64-5045-4612-BA2C-3FCD70294EF5}" id="{E7587517-BDB9-4C2A-AEC9-1BFD89982E7A}">
    <text>F_tiploss=0.5 but should be higher</text>
  </threadedComment>
  <threadedComment ref="Z38" dT="2025-04-18T11:58:41.69" personId="{D97AAA64-5045-4612-BA2C-3FCD70294EF5}" id="{51022A66-00A7-4101-918E-442BF0A239C3}">
    <text xml:space="preserve">F_tiploss=0.7, a bit high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2AEA1F-648D-4B5D-88C0-20060C985332}">
  <sheetPr codeName="Sheet1"/>
  <dimension ref="A1:AL51"/>
  <sheetViews>
    <sheetView tabSelected="1" zoomScale="70" zoomScaleNormal="70" workbookViewId="0">
      <selection activeCell="Z49" sqref="Z49"/>
    </sheetView>
  </sheetViews>
  <sheetFormatPr defaultRowHeight="14" x14ac:dyDescent="0.3"/>
  <cols>
    <col min="1" max="1" width="4" style="26" customWidth="1"/>
    <col min="2" max="2" width="5.33203125" customWidth="1"/>
    <col min="3" max="3" width="7.5" customWidth="1"/>
    <col min="4" max="5" width="10.08203125" bestFit="1" customWidth="1"/>
    <col min="6" max="6" width="7.58203125" customWidth="1"/>
    <col min="7" max="7" width="7.25" customWidth="1"/>
    <col min="8" max="8" width="7.83203125" customWidth="1"/>
    <col min="9" max="9" width="7.33203125" customWidth="1"/>
    <col min="10" max="10" width="7.25" customWidth="1"/>
    <col min="11" max="11" width="7.08203125" customWidth="1"/>
    <col min="12" max="12" width="4.58203125" style="140" customWidth="1"/>
    <col min="13" max="13" width="5.5" style="26" customWidth="1"/>
    <col min="14" max="14" width="5.08203125" style="140" customWidth="1"/>
    <col min="15" max="15" width="9.9140625" style="140" customWidth="1"/>
    <col min="16" max="16" width="9.58203125" style="140" customWidth="1"/>
    <col min="17" max="17" width="8.83203125" style="140" customWidth="1"/>
    <col min="18" max="18" width="8.75" style="140" customWidth="1"/>
    <col min="19" max="19" width="8.4140625" style="140" customWidth="1"/>
    <col min="20" max="20" width="8.75" style="140" customWidth="1"/>
    <col min="21" max="21" width="7.08203125" style="140" customWidth="1"/>
    <col min="22" max="22" width="8.9140625" style="140" customWidth="1"/>
    <col min="23" max="23" width="8.9140625" style="27" customWidth="1"/>
    <col min="25" max="25" width="8.25" customWidth="1"/>
    <col min="26" max="26" width="9.75" customWidth="1"/>
    <col min="27" max="27" width="9.6640625" customWidth="1"/>
    <col min="29" max="29" width="12.58203125" customWidth="1"/>
    <col min="30" max="30" width="11.5" customWidth="1"/>
    <col min="31" max="31" width="10.5" customWidth="1"/>
  </cols>
  <sheetData>
    <row r="1" spans="1:38" ht="37" customHeight="1" thickBot="1" x14ac:dyDescent="0.35">
      <c r="B1" s="142" t="s">
        <v>56</v>
      </c>
      <c r="C1" s="142"/>
      <c r="D1" s="142"/>
      <c r="E1" s="142"/>
      <c r="F1" s="142"/>
      <c r="G1" s="142"/>
      <c r="H1" s="142"/>
      <c r="I1" s="142"/>
      <c r="J1" s="142"/>
      <c r="K1" s="142"/>
      <c r="M1" s="140"/>
      <c r="W1" s="140"/>
    </row>
    <row r="2" spans="1:38" x14ac:dyDescent="0.3">
      <c r="A2" s="30"/>
      <c r="B2" s="128" t="s">
        <v>55</v>
      </c>
      <c r="C2" s="128"/>
      <c r="D2" s="128"/>
      <c r="E2" s="128"/>
      <c r="F2" s="128"/>
      <c r="G2" s="128"/>
      <c r="H2" s="128"/>
      <c r="I2" s="128"/>
      <c r="J2" s="128"/>
      <c r="K2" s="31"/>
      <c r="L2" s="31"/>
      <c r="M2" s="30"/>
      <c r="N2" s="31"/>
      <c r="O2" s="31"/>
      <c r="P2" s="31"/>
      <c r="Q2" s="31"/>
      <c r="R2" s="31"/>
      <c r="S2" s="31"/>
      <c r="T2" s="31"/>
      <c r="U2" s="31"/>
      <c r="V2" s="31"/>
      <c r="W2" s="32"/>
      <c r="X2" s="30"/>
      <c r="Y2" s="31"/>
      <c r="Z2" s="31"/>
      <c r="AA2" s="31"/>
      <c r="AB2" s="31"/>
      <c r="AC2" s="31"/>
      <c r="AD2" s="31"/>
      <c r="AE2" s="31"/>
      <c r="AF2" s="31"/>
      <c r="AG2" s="31"/>
      <c r="AH2" s="31"/>
      <c r="AI2" s="31"/>
      <c r="AJ2" s="31"/>
      <c r="AK2" s="31"/>
      <c r="AL2" s="32"/>
    </row>
    <row r="3" spans="1:38" ht="14.5" thickBot="1" x14ac:dyDescent="0.35">
      <c r="B3" s="174"/>
      <c r="C3" s="140"/>
      <c r="D3" s="140"/>
      <c r="E3" s="140"/>
      <c r="F3" s="140"/>
      <c r="G3" s="140"/>
      <c r="H3" s="140"/>
      <c r="I3" s="140"/>
      <c r="J3" s="140"/>
      <c r="K3" s="140"/>
      <c r="X3" s="26" t="s">
        <v>41</v>
      </c>
      <c r="Y3" s="140"/>
      <c r="Z3" s="140"/>
      <c r="AA3" s="140"/>
      <c r="AB3" s="140"/>
      <c r="AC3" s="140"/>
      <c r="AD3" s="140"/>
      <c r="AE3" s="140"/>
      <c r="AF3" s="140"/>
      <c r="AG3" s="140"/>
      <c r="AH3" s="140"/>
      <c r="AI3" s="140"/>
      <c r="AJ3" s="140"/>
      <c r="AK3" s="140"/>
      <c r="AL3" s="27"/>
    </row>
    <row r="4" spans="1:38" x14ac:dyDescent="0.3">
      <c r="B4" s="131" t="s">
        <v>0</v>
      </c>
      <c r="C4" s="132"/>
      <c r="D4" s="133"/>
      <c r="E4" s="140"/>
      <c r="F4" s="140"/>
      <c r="G4" s="140"/>
      <c r="H4" s="140"/>
      <c r="I4" s="140"/>
      <c r="J4" s="140"/>
      <c r="K4" s="140"/>
      <c r="M4" s="131" t="s">
        <v>4</v>
      </c>
      <c r="N4" s="132"/>
      <c r="O4" s="133"/>
      <c r="R4" s="19"/>
      <c r="S4" s="89"/>
      <c r="X4" s="183" t="s">
        <v>42</v>
      </c>
      <c r="Y4" s="95" t="s">
        <v>5</v>
      </c>
      <c r="Z4" s="96" t="s">
        <v>6</v>
      </c>
      <c r="AA4" s="101" t="s">
        <v>7</v>
      </c>
      <c r="AB4" s="97" t="s">
        <v>38</v>
      </c>
      <c r="AC4" s="97" t="s">
        <v>8</v>
      </c>
      <c r="AD4" s="45" t="s">
        <v>9</v>
      </c>
      <c r="AE4" s="184" t="s">
        <v>45</v>
      </c>
      <c r="AF4" s="140"/>
      <c r="AG4" s="8" t="s">
        <v>7</v>
      </c>
      <c r="AH4" s="97" t="s">
        <v>8</v>
      </c>
      <c r="AI4" s="97" t="s">
        <v>8</v>
      </c>
      <c r="AJ4" s="3" t="s">
        <v>8</v>
      </c>
      <c r="AK4" s="140"/>
      <c r="AL4" s="27"/>
    </row>
    <row r="5" spans="1:38" ht="14.5" thickBot="1" x14ac:dyDescent="0.35">
      <c r="B5" s="134"/>
      <c r="C5" s="135"/>
      <c r="D5" s="136"/>
      <c r="E5" s="140"/>
      <c r="F5" s="140"/>
      <c r="G5" s="140"/>
      <c r="H5" s="140"/>
      <c r="I5" s="140"/>
      <c r="J5" s="140"/>
      <c r="K5" s="140"/>
      <c r="M5" s="134"/>
      <c r="N5" s="135"/>
      <c r="O5" s="136"/>
      <c r="R5" s="144"/>
      <c r="S5" s="145"/>
      <c r="X5" s="185"/>
      <c r="Y5" s="186">
        <v>6.4602259999999996</v>
      </c>
      <c r="Z5" s="186">
        <v>2.8178290000000001</v>
      </c>
      <c r="AA5" s="187">
        <v>2.7743500000000001</v>
      </c>
      <c r="AB5" s="146">
        <f t="shared" ref="AB5:AB14" si="0">Y5*AA5</f>
        <v>17.922928003100001</v>
      </c>
      <c r="AC5" s="146">
        <f t="shared" ref="AC5:AC14" si="1">Z5*AA5</f>
        <v>7.8176438861500008</v>
      </c>
      <c r="AD5" s="22">
        <f>AVERAGE(AC5:AC14)</f>
        <v>27.704645395154991</v>
      </c>
      <c r="AE5" s="188">
        <v>239.6</v>
      </c>
      <c r="AF5" s="140"/>
      <c r="AG5" s="84">
        <v>2.7743500000000001</v>
      </c>
      <c r="AH5" s="152">
        <v>7.8176438861500008</v>
      </c>
      <c r="AI5" s="152">
        <v>6.10924909445</v>
      </c>
      <c r="AJ5" s="12">
        <v>19.44662878847538</v>
      </c>
      <c r="AK5" s="140"/>
      <c r="AL5" s="27"/>
    </row>
    <row r="6" spans="1:38" x14ac:dyDescent="0.3">
      <c r="B6" s="140"/>
      <c r="C6" s="140"/>
      <c r="D6" s="140"/>
      <c r="E6" s="140"/>
      <c r="F6" s="140"/>
      <c r="G6" s="140"/>
      <c r="H6" s="140"/>
      <c r="I6" s="140"/>
      <c r="J6" s="140"/>
      <c r="K6" s="140"/>
      <c r="Q6" s="146"/>
      <c r="X6" s="185"/>
      <c r="Y6" s="186">
        <v>9.8902020000000004</v>
      </c>
      <c r="Z6" s="186">
        <v>4.8685229999999997</v>
      </c>
      <c r="AA6" s="187">
        <v>3.3770499999999997</v>
      </c>
      <c r="AB6" s="146">
        <f t="shared" si="0"/>
        <v>33.399706664099995</v>
      </c>
      <c r="AC6" s="146">
        <f t="shared" si="1"/>
        <v>16.441245597149997</v>
      </c>
      <c r="AD6" s="102" t="s">
        <v>34</v>
      </c>
      <c r="AE6" s="189" t="s">
        <v>46</v>
      </c>
      <c r="AF6" s="140"/>
      <c r="AG6" s="84">
        <v>3.3770499999999997</v>
      </c>
      <c r="AH6" s="152">
        <v>16.441245597149997</v>
      </c>
      <c r="AI6" s="152">
        <v>18.413473190599998</v>
      </c>
      <c r="AJ6" s="12">
        <v>22.591078823514728</v>
      </c>
      <c r="AK6" s="140"/>
      <c r="AL6" s="27"/>
    </row>
    <row r="7" spans="1:38" x14ac:dyDescent="0.3">
      <c r="B7" s="140"/>
      <c r="C7" s="140"/>
      <c r="D7" s="140"/>
      <c r="E7" s="140"/>
      <c r="F7" s="140"/>
      <c r="G7" s="140"/>
      <c r="H7" s="140"/>
      <c r="I7" s="140"/>
      <c r="J7" s="140"/>
      <c r="K7" s="175" t="s">
        <v>7</v>
      </c>
      <c r="O7" s="140">
        <v>1000</v>
      </c>
      <c r="X7" s="185"/>
      <c r="Y7" s="186">
        <v>13.637781</v>
      </c>
      <c r="Z7" s="186">
        <v>6.3263090000000002</v>
      </c>
      <c r="AA7" s="187">
        <v>3.9797500000000001</v>
      </c>
      <c r="AB7" s="146">
        <f t="shared" si="0"/>
        <v>54.274958934750003</v>
      </c>
      <c r="AC7" s="146">
        <f t="shared" si="1"/>
        <v>25.177128242750001</v>
      </c>
      <c r="AD7" s="103">
        <f>SUM(AC5:AC14)</f>
        <v>277.04645395154989</v>
      </c>
      <c r="AE7" s="190">
        <f>AD7-AE5</f>
        <v>37.446453951549898</v>
      </c>
      <c r="AF7" s="140"/>
      <c r="AG7" s="84">
        <v>3.9797500000000001</v>
      </c>
      <c r="AH7" s="152">
        <v>25.177128242750001</v>
      </c>
      <c r="AI7" s="152">
        <v>28.98141902475</v>
      </c>
      <c r="AJ7" s="12">
        <v>22.693310595011621</v>
      </c>
      <c r="AK7" s="140"/>
      <c r="AL7" s="27"/>
    </row>
    <row r="8" spans="1:38" x14ac:dyDescent="0.3">
      <c r="B8" s="176" t="s">
        <v>11</v>
      </c>
      <c r="C8" s="176"/>
      <c r="D8" s="176"/>
      <c r="E8" s="176"/>
      <c r="F8" s="176"/>
      <c r="G8" s="176"/>
      <c r="H8" s="176"/>
      <c r="I8" s="176"/>
      <c r="J8" s="176"/>
      <c r="K8" s="140">
        <v>8.5</v>
      </c>
      <c r="X8" s="185"/>
      <c r="Y8" s="186">
        <v>15.702284000000001</v>
      </c>
      <c r="Z8" s="186">
        <v>6.2688899999999999</v>
      </c>
      <c r="AA8" s="187">
        <v>4.5824499999999997</v>
      </c>
      <c r="AB8" s="146">
        <f t="shared" si="0"/>
        <v>71.954931315799996</v>
      </c>
      <c r="AC8" s="146">
        <f t="shared" si="1"/>
        <v>28.726874980499996</v>
      </c>
      <c r="AD8" s="99" t="s">
        <v>36</v>
      </c>
      <c r="AE8" s="140" t="s">
        <v>53</v>
      </c>
      <c r="AF8" s="140"/>
      <c r="AG8" s="84">
        <v>4.5824499999999997</v>
      </c>
      <c r="AH8" s="152">
        <v>28.726874980499996</v>
      </c>
      <c r="AI8" s="152">
        <v>32.655111506249995</v>
      </c>
      <c r="AJ8" s="12">
        <v>20.557994280183774</v>
      </c>
      <c r="AK8" s="140"/>
      <c r="AL8" s="27"/>
    </row>
    <row r="9" spans="1:38" ht="16" customHeight="1" x14ac:dyDescent="0.3">
      <c r="B9" s="124" t="s">
        <v>1</v>
      </c>
      <c r="C9" s="125"/>
      <c r="D9" s="14" t="s">
        <v>14</v>
      </c>
      <c r="E9" s="1"/>
      <c r="F9" s="1"/>
      <c r="G9" s="1"/>
      <c r="H9" s="1"/>
      <c r="I9" s="1"/>
      <c r="J9" s="1"/>
      <c r="K9" s="3"/>
      <c r="M9" s="147" t="s">
        <v>12</v>
      </c>
      <c r="N9" s="129"/>
      <c r="O9" s="14" t="s">
        <v>2</v>
      </c>
      <c r="P9" s="1"/>
      <c r="Q9" s="1"/>
      <c r="R9" s="1"/>
      <c r="S9" s="1"/>
      <c r="T9" s="1"/>
      <c r="U9" s="1"/>
      <c r="V9" s="3"/>
      <c r="X9" s="185"/>
      <c r="Y9" s="186">
        <v>17.278168000000001</v>
      </c>
      <c r="Z9" s="186">
        <v>5.9802059999999999</v>
      </c>
      <c r="AA9" s="187">
        <v>5.1851499999999948</v>
      </c>
      <c r="AB9" s="146">
        <f t="shared" si="0"/>
        <v>89.589892805199909</v>
      </c>
      <c r="AC9" s="146">
        <f t="shared" si="1"/>
        <v>31.008265140899969</v>
      </c>
      <c r="AD9" s="100">
        <f>AD7/(0.5*1.025*PI()*8.5^3*2^2)</f>
        <v>7.0047410483835851E-2</v>
      </c>
      <c r="AE9" s="146">
        <f>AD14/AE5</f>
        <v>4.1594202102831783</v>
      </c>
      <c r="AF9" s="140"/>
      <c r="AG9" s="84">
        <v>5.1851499999999948</v>
      </c>
      <c r="AH9" s="152">
        <v>31.008265140899969</v>
      </c>
      <c r="AI9" s="152">
        <v>34.116015904299964</v>
      </c>
      <c r="AJ9" s="12">
        <v>17.927811179216818</v>
      </c>
      <c r="AK9" s="140"/>
      <c r="AL9" s="27"/>
    </row>
    <row r="10" spans="1:38" x14ac:dyDescent="0.3">
      <c r="B10" s="126"/>
      <c r="C10" s="127"/>
      <c r="D10" s="18">
        <v>0.8</v>
      </c>
      <c r="E10" s="19">
        <v>0.81699999999999995</v>
      </c>
      <c r="F10" s="19">
        <v>1</v>
      </c>
      <c r="G10" s="19">
        <v>1.0549999999999999</v>
      </c>
      <c r="H10" s="20">
        <v>1.0669999999999999</v>
      </c>
      <c r="I10" s="19">
        <v>1.1000000000000001</v>
      </c>
      <c r="J10" s="19">
        <v>1.26</v>
      </c>
      <c r="K10" s="21">
        <v>1.4</v>
      </c>
      <c r="M10" s="148"/>
      <c r="N10" s="130"/>
      <c r="O10" s="18">
        <v>0.8</v>
      </c>
      <c r="P10" s="19">
        <v>0.81699999999999995</v>
      </c>
      <c r="Q10" s="89">
        <v>1.0549999999999999</v>
      </c>
      <c r="R10" s="88">
        <v>1.0669999999999999</v>
      </c>
      <c r="S10" s="19">
        <v>1.1000000000000001</v>
      </c>
      <c r="T10" s="19">
        <v>1.26</v>
      </c>
      <c r="U10" s="19">
        <v>1.335</v>
      </c>
      <c r="V10" s="21">
        <v>1.4</v>
      </c>
      <c r="W10" s="115"/>
      <c r="X10" s="185"/>
      <c r="Y10" s="186">
        <v>18.721049000000001</v>
      </c>
      <c r="Z10" s="186">
        <v>5.6861629999999996</v>
      </c>
      <c r="AA10" s="187">
        <v>5.7878499999999953</v>
      </c>
      <c r="AB10" s="146">
        <f t="shared" si="0"/>
        <v>108.35462345464991</v>
      </c>
      <c r="AC10" s="146">
        <f t="shared" si="1"/>
        <v>32.910658519549969</v>
      </c>
      <c r="AD10" s="5"/>
      <c r="AE10" s="140"/>
      <c r="AF10" s="140"/>
      <c r="AG10" s="84">
        <v>5.7878499999999953</v>
      </c>
      <c r="AH10" s="152">
        <v>32.910658519549969</v>
      </c>
      <c r="AI10" s="152">
        <v>34.947258238299973</v>
      </c>
      <c r="AJ10" s="12">
        <v>17.047182178850164</v>
      </c>
      <c r="AK10" s="140"/>
      <c r="AL10" s="27"/>
    </row>
    <row r="11" spans="1:38" x14ac:dyDescent="0.3">
      <c r="B11" s="11" t="s">
        <v>3</v>
      </c>
      <c r="C11" s="16">
        <v>0.4</v>
      </c>
      <c r="D11" s="113">
        <f t="shared" ref="D11:K20" si="2">D$10*$K$8/$C11</f>
        <v>17</v>
      </c>
      <c r="E11" s="91">
        <f t="shared" si="2"/>
        <v>17.361249999999998</v>
      </c>
      <c r="F11" s="91">
        <f t="shared" si="2"/>
        <v>21.25</v>
      </c>
      <c r="G11" s="91">
        <f t="shared" si="2"/>
        <v>22.418749999999996</v>
      </c>
      <c r="H11" s="91">
        <f t="shared" si="2"/>
        <v>22.673749999999998</v>
      </c>
      <c r="I11" s="91">
        <f t="shared" si="2"/>
        <v>23.375000000000004</v>
      </c>
      <c r="J11" s="91">
        <f t="shared" si="2"/>
        <v>26.775000000000002</v>
      </c>
      <c r="K11" s="92">
        <f t="shared" si="2"/>
        <v>29.749999999999996</v>
      </c>
      <c r="M11" s="149" t="s">
        <v>3</v>
      </c>
      <c r="N11" s="16">
        <v>0.4</v>
      </c>
      <c r="O11" s="144">
        <f>-60976.3032375436/1000</f>
        <v>-60.976303237543604</v>
      </c>
      <c r="P11" s="144">
        <f>-41951.2074247319/1000</f>
        <v>-41.951207424731905</v>
      </c>
      <c r="Q11" s="150">
        <f>-92011.1272785556/1000</f>
        <v>-92.011127278555605</v>
      </c>
      <c r="R11" s="151">
        <f>-94844.6577475817/O7</f>
        <v>-94.844657747581707</v>
      </c>
      <c r="S11" s="150">
        <f>-102685.762031328/O7</f>
        <v>-102.68576203132801</v>
      </c>
      <c r="T11" s="150">
        <f>-143158.067550713/O7</f>
        <v>-143.15806755071299</v>
      </c>
      <c r="U11" s="150"/>
      <c r="V11" s="13">
        <f>-182056.028338644/O7</f>
        <v>-182.05602833864401</v>
      </c>
      <c r="W11" s="116"/>
      <c r="X11" s="185"/>
      <c r="Y11" s="186">
        <v>20.250575999999999</v>
      </c>
      <c r="Z11" s="186">
        <v>5.4574809999999996</v>
      </c>
      <c r="AA11" s="187">
        <v>6.3905499999999948</v>
      </c>
      <c r="AB11" s="146">
        <f t="shared" si="0"/>
        <v>129.41231845679988</v>
      </c>
      <c r="AC11" s="146">
        <f t="shared" si="1"/>
        <v>34.876305204549972</v>
      </c>
      <c r="AD11" s="98" t="s">
        <v>10</v>
      </c>
      <c r="AE11" s="140"/>
      <c r="AF11" s="140"/>
      <c r="AG11" s="84">
        <v>6.3905499999999948</v>
      </c>
      <c r="AH11" s="152">
        <v>34.876305204549972</v>
      </c>
      <c r="AI11" s="152">
        <v>36.603153234999965</v>
      </c>
      <c r="AJ11" s="12">
        <v>17.951665707537511</v>
      </c>
      <c r="AK11" s="140"/>
      <c r="AL11" s="27"/>
    </row>
    <row r="12" spans="1:38" x14ac:dyDescent="0.3">
      <c r="B12" s="4"/>
      <c r="C12" s="12">
        <v>0.6</v>
      </c>
      <c r="D12" s="37">
        <f t="shared" si="2"/>
        <v>11.333333333333336</v>
      </c>
      <c r="E12" s="150">
        <f t="shared" si="2"/>
        <v>11.574166666666667</v>
      </c>
      <c r="F12" s="150">
        <f t="shared" si="2"/>
        <v>14.166666666666668</v>
      </c>
      <c r="G12" s="150">
        <f t="shared" si="2"/>
        <v>14.945833333333333</v>
      </c>
      <c r="H12" s="150">
        <f t="shared" si="2"/>
        <v>15.115833333333333</v>
      </c>
      <c r="I12" s="150">
        <f t="shared" si="2"/>
        <v>15.583333333333336</v>
      </c>
      <c r="J12" s="150">
        <f t="shared" si="2"/>
        <v>17.850000000000001</v>
      </c>
      <c r="K12" s="13">
        <f t="shared" si="2"/>
        <v>19.833333333333332</v>
      </c>
      <c r="N12" s="12">
        <v>0.6</v>
      </c>
      <c r="O12" s="152">
        <f>-53706.2942823575/O7</f>
        <v>-53.706294282357497</v>
      </c>
      <c r="P12" s="153">
        <v>-56.725000000000001</v>
      </c>
      <c r="Q12" s="152">
        <f>-104134.122242945/O7</f>
        <v>-104.134122242945</v>
      </c>
      <c r="R12" s="154">
        <f>-106806.140930533/O7</f>
        <v>-106.806140930533</v>
      </c>
      <c r="S12" s="152">
        <f>-114295.385648862/O7</f>
        <v>-114.29538564886199</v>
      </c>
      <c r="T12" s="152">
        <f>-154242.827624134/O7</f>
        <v>-154.24282762413398</v>
      </c>
      <c r="U12" s="152"/>
      <c r="V12" s="12">
        <f>-191209.497196749/O7</f>
        <v>-191.209497196749</v>
      </c>
      <c r="W12" s="117"/>
      <c r="X12" s="185"/>
      <c r="Y12" s="186">
        <v>21.847100000000001</v>
      </c>
      <c r="Z12" s="186">
        <v>5.2455429999999996</v>
      </c>
      <c r="AA12" s="187">
        <v>6.9932499999999944</v>
      </c>
      <c r="AB12" s="146">
        <f t="shared" si="0"/>
        <v>152.78223207499988</v>
      </c>
      <c r="AC12" s="146">
        <f t="shared" si="1"/>
        <v>36.683393584749965</v>
      </c>
      <c r="AD12" s="22">
        <f>AVERAGE(AB5:AB14)</f>
        <v>99.659708238384951</v>
      </c>
      <c r="AE12" s="140"/>
      <c r="AF12" s="140"/>
      <c r="AG12" s="84">
        <v>6.9932499999999944</v>
      </c>
      <c r="AH12" s="152">
        <v>36.683393584749965</v>
      </c>
      <c r="AI12" s="152">
        <v>39.141332141999968</v>
      </c>
      <c r="AJ12" s="12">
        <v>20.994306306626882</v>
      </c>
      <c r="AK12" s="140"/>
      <c r="AL12" s="27"/>
    </row>
    <row r="13" spans="1:38" x14ac:dyDescent="0.3">
      <c r="B13" s="4"/>
      <c r="C13" s="12">
        <v>0.75600000000000001</v>
      </c>
      <c r="D13" s="37">
        <f t="shared" si="2"/>
        <v>8.9947089947089953</v>
      </c>
      <c r="E13" s="150">
        <f t="shared" si="2"/>
        <v>9.18584656084656</v>
      </c>
      <c r="F13" s="150">
        <f t="shared" si="2"/>
        <v>11.243386243386244</v>
      </c>
      <c r="G13" s="145">
        <f t="shared" si="2"/>
        <v>11.861772486772486</v>
      </c>
      <c r="H13" s="145">
        <f t="shared" si="2"/>
        <v>11.996693121693122</v>
      </c>
      <c r="I13" s="150">
        <f t="shared" si="2"/>
        <v>12.367724867724869</v>
      </c>
      <c r="J13" s="145">
        <f t="shared" si="2"/>
        <v>14.166666666666668</v>
      </c>
      <c r="K13" s="33">
        <f t="shared" si="2"/>
        <v>15.740740740740739</v>
      </c>
      <c r="N13" s="12">
        <v>0.75600000000000001</v>
      </c>
      <c r="O13" s="150">
        <f>-42247.476161254/O7</f>
        <v>-42.247476161253999</v>
      </c>
      <c r="P13" s="150">
        <f>-45376.1169386445/O7</f>
        <v>-45.3761169386445</v>
      </c>
      <c r="Q13" s="150">
        <f>-95075.6779267946/O7</f>
        <v>-95.075677926794597</v>
      </c>
      <c r="R13" s="151">
        <f>-97853.0438071832/1000</f>
        <v>-97.853043807183198</v>
      </c>
      <c r="S13" s="150">
        <f>-105604.835523271/O7</f>
        <v>-105.60483552327101</v>
      </c>
      <c r="T13" s="155">
        <v>-145.53</v>
      </c>
      <c r="U13" s="155"/>
      <c r="V13" s="13">
        <f>-184441.642017173/1000</f>
        <v>-184.441642017173</v>
      </c>
      <c r="W13" s="116"/>
      <c r="X13" s="185"/>
      <c r="Y13" s="186">
        <v>23.009920999999999</v>
      </c>
      <c r="Z13" s="186">
        <v>4.8612700000000002</v>
      </c>
      <c r="AA13" s="187">
        <v>7.5959500000000002</v>
      </c>
      <c r="AB13" s="146">
        <f t="shared" si="0"/>
        <v>174.78220941994999</v>
      </c>
      <c r="AC13" s="146">
        <f t="shared" si="1"/>
        <v>36.925963856500005</v>
      </c>
      <c r="AD13" s="98" t="s">
        <v>39</v>
      </c>
      <c r="AE13" s="140"/>
      <c r="AF13" s="140"/>
      <c r="AG13" s="84">
        <v>7.5959500000000002</v>
      </c>
      <c r="AH13" s="152">
        <v>36.925963856500005</v>
      </c>
      <c r="AI13" s="152">
        <v>40.42636751525</v>
      </c>
      <c r="AJ13" s="12">
        <v>25.931997008275122</v>
      </c>
      <c r="AK13" s="140"/>
      <c r="AL13" s="27"/>
    </row>
    <row r="14" spans="1:38" x14ac:dyDescent="0.3">
      <c r="B14" s="4"/>
      <c r="C14" s="12">
        <v>0.8</v>
      </c>
      <c r="D14" s="37">
        <f t="shared" si="2"/>
        <v>8.5</v>
      </c>
      <c r="E14" s="150">
        <f t="shared" si="2"/>
        <v>8.6806249999999991</v>
      </c>
      <c r="F14" s="150">
        <f t="shared" si="2"/>
        <v>10.625</v>
      </c>
      <c r="G14" s="150">
        <f t="shared" si="2"/>
        <v>11.209374999999998</v>
      </c>
      <c r="H14" s="150">
        <f t="shared" si="2"/>
        <v>11.336874999999999</v>
      </c>
      <c r="I14" s="150">
        <f t="shared" si="2"/>
        <v>11.687500000000002</v>
      </c>
      <c r="J14" s="150">
        <f t="shared" si="2"/>
        <v>13.387500000000001</v>
      </c>
      <c r="K14" s="13">
        <f t="shared" si="2"/>
        <v>14.874999999999998</v>
      </c>
      <c r="N14" s="12">
        <v>0.8</v>
      </c>
      <c r="O14" s="152">
        <f>-38788.0138905992/$O$7</f>
        <v>-38.788013890599196</v>
      </c>
      <c r="P14" s="152">
        <f>-41951.2074247319/1000</f>
        <v>-41.951207424731905</v>
      </c>
      <c r="Q14" s="152">
        <f>-92011.1272785556/O7</f>
        <v>-92.011127278555605</v>
      </c>
      <c r="R14" s="156">
        <v>-94.844999999999999</v>
      </c>
      <c r="S14" s="152">
        <f>-102685.762031328/1000</f>
        <v>-102.68576203132801</v>
      </c>
      <c r="T14" s="152">
        <f>-143158.067550713/O7</f>
        <v>-143.15806755071299</v>
      </c>
      <c r="U14" s="152"/>
      <c r="V14" s="12">
        <f>-182056.028338644/O7</f>
        <v>-182.05602833864401</v>
      </c>
      <c r="W14" s="117"/>
      <c r="X14" s="185"/>
      <c r="Y14" s="186">
        <v>20.018329999999999</v>
      </c>
      <c r="Z14" s="186">
        <v>3.2296749999999999</v>
      </c>
      <c r="AA14" s="187">
        <v>8.1986500000000007</v>
      </c>
      <c r="AB14" s="146">
        <f t="shared" si="0"/>
        <v>164.1232812545</v>
      </c>
      <c r="AC14" s="146">
        <f t="shared" si="1"/>
        <v>26.47897493875</v>
      </c>
      <c r="AD14" s="22">
        <f>SUM(AB5:AB14)</f>
        <v>996.59708238384951</v>
      </c>
      <c r="AE14" s="140"/>
      <c r="AF14" s="140"/>
      <c r="AG14" s="85">
        <v>8.1986500000000007</v>
      </c>
      <c r="AH14" s="93">
        <v>26.47897493875</v>
      </c>
      <c r="AI14" s="93">
        <v>28.972758309250004</v>
      </c>
      <c r="AJ14" s="15">
        <v>29.198370724198636</v>
      </c>
      <c r="AK14" s="140"/>
      <c r="AL14" s="27"/>
    </row>
    <row r="15" spans="1:38" x14ac:dyDescent="0.3">
      <c r="B15" s="4"/>
      <c r="C15" s="17">
        <v>0.81</v>
      </c>
      <c r="D15" s="37">
        <f t="shared" si="2"/>
        <v>8.3950617283950617</v>
      </c>
      <c r="E15" s="150">
        <f t="shared" si="2"/>
        <v>8.5734567901234566</v>
      </c>
      <c r="F15" s="150">
        <f t="shared" si="2"/>
        <v>10.493827160493826</v>
      </c>
      <c r="G15" s="150">
        <f t="shared" si="2"/>
        <v>11.070987654320986</v>
      </c>
      <c r="H15" s="150">
        <f t="shared" si="2"/>
        <v>11.196913580246912</v>
      </c>
      <c r="I15" s="150">
        <f t="shared" si="2"/>
        <v>11.543209876543211</v>
      </c>
      <c r="J15" s="150">
        <f t="shared" si="2"/>
        <v>13.222222222222223</v>
      </c>
      <c r="K15" s="13">
        <f t="shared" si="2"/>
        <v>14.691358024691356</v>
      </c>
      <c r="N15" s="17">
        <v>0.81</v>
      </c>
      <c r="O15" s="150">
        <f>-37897.4967571122/O7</f>
        <v>-37.897496757112201</v>
      </c>
      <c r="P15" s="150">
        <f>-41050.8130227526/1000</f>
        <v>-41.0508130227526</v>
      </c>
      <c r="Q15" s="155">
        <v>-91.212000000000003</v>
      </c>
      <c r="R15" s="151">
        <f>-94017.2448931007/1000</f>
        <v>-94.017244893100695</v>
      </c>
      <c r="S15" s="150">
        <f>-101892.910769911/1000</f>
        <v>-101.892910769911</v>
      </c>
      <c r="T15" s="150">
        <f>-142506.920504316/1000</f>
        <v>-142.50692050431599</v>
      </c>
      <c r="U15" s="150"/>
      <c r="V15" s="13">
        <f>-181420.917231372/1000</f>
        <v>-181.42091723137202</v>
      </c>
      <c r="W15" s="116"/>
      <c r="X15" s="26"/>
      <c r="Y15" s="191"/>
      <c r="Z15" s="191"/>
      <c r="AA15" s="187"/>
      <c r="AB15" s="140"/>
      <c r="AC15" s="140"/>
      <c r="AD15" s="98" t="s">
        <v>44</v>
      </c>
      <c r="AE15" s="140"/>
      <c r="AF15" s="140"/>
      <c r="AG15" s="140"/>
      <c r="AH15" s="140"/>
      <c r="AI15" s="140"/>
      <c r="AJ15" s="140"/>
      <c r="AK15" s="140"/>
      <c r="AL15" s="27"/>
    </row>
    <row r="16" spans="1:38" x14ac:dyDescent="0.3">
      <c r="B16" s="4"/>
      <c r="C16" s="12">
        <v>0.9</v>
      </c>
      <c r="D16" s="37">
        <f t="shared" si="2"/>
        <v>7.5555555555555562</v>
      </c>
      <c r="E16" s="150">
        <f t="shared" si="2"/>
        <v>7.7161111111111103</v>
      </c>
      <c r="F16" s="150">
        <f t="shared" si="2"/>
        <v>9.4444444444444446</v>
      </c>
      <c r="G16" s="150">
        <f t="shared" si="2"/>
        <v>9.9638888888888886</v>
      </c>
      <c r="H16" s="150">
        <f t="shared" si="2"/>
        <v>10.077222222222222</v>
      </c>
      <c r="I16" s="150">
        <f t="shared" si="2"/>
        <v>10.388888888888891</v>
      </c>
      <c r="J16" s="150">
        <f t="shared" si="2"/>
        <v>11.9</v>
      </c>
      <c r="K16" s="13">
        <f t="shared" si="2"/>
        <v>13.22222222222222</v>
      </c>
      <c r="N16" s="12">
        <v>0.9</v>
      </c>
      <c r="O16" s="150">
        <f>-29395.7464805538/1000</f>
        <v>-29.3957464805538</v>
      </c>
      <c r="P16" s="150">
        <f>-32517.0404940474/1000</f>
        <v>-32.5170404940474</v>
      </c>
      <c r="Q16" s="150">
        <f>-83324.3098811092/1000</f>
        <v>-83.324309881109201</v>
      </c>
      <c r="R16" s="151">
        <f>-86212.4980771217/O7</f>
        <v>-86.212498077121694</v>
      </c>
      <c r="S16" s="150">
        <f>-94213.5433092831/O7</f>
        <v>-94.213543309283097</v>
      </c>
      <c r="T16" s="150">
        <f>-135737.956306459/1000</f>
        <v>-135.73795630645901</v>
      </c>
      <c r="U16" s="150"/>
      <c r="V16" s="13">
        <f>-175567.841687019/O7</f>
        <v>-175.56784168701901</v>
      </c>
      <c r="W16" s="116"/>
      <c r="X16" s="141"/>
      <c r="Y16" s="108"/>
      <c r="Z16" s="108"/>
      <c r="AA16" s="2"/>
      <c r="AB16" s="2"/>
      <c r="AC16" s="2"/>
      <c r="AD16" s="23">
        <f>SUM(Y5:Y14)</f>
        <v>166.81563699999998</v>
      </c>
      <c r="AE16" s="140"/>
      <c r="AF16" s="192" t="s">
        <v>49</v>
      </c>
      <c r="AG16" s="140"/>
      <c r="AH16" s="140"/>
      <c r="AI16" s="140"/>
      <c r="AJ16" s="140"/>
      <c r="AK16" s="140"/>
      <c r="AL16" s="27"/>
    </row>
    <row r="17" spans="2:38" ht="16.5" customHeight="1" x14ac:dyDescent="0.3">
      <c r="B17" s="4"/>
      <c r="C17" s="12">
        <v>1</v>
      </c>
      <c r="D17" s="37">
        <f t="shared" si="2"/>
        <v>6.8000000000000007</v>
      </c>
      <c r="E17" s="150">
        <f t="shared" si="2"/>
        <v>6.9444999999999997</v>
      </c>
      <c r="F17" s="150">
        <f t="shared" si="2"/>
        <v>8.5</v>
      </c>
      <c r="G17" s="150">
        <f t="shared" si="2"/>
        <v>8.9674999999999994</v>
      </c>
      <c r="H17" s="150">
        <f t="shared" si="2"/>
        <v>9.0694999999999997</v>
      </c>
      <c r="I17" s="150">
        <f t="shared" si="2"/>
        <v>9.3500000000000014</v>
      </c>
      <c r="J17" s="150">
        <f t="shared" si="2"/>
        <v>10.71</v>
      </c>
      <c r="K17" s="13">
        <f t="shared" si="2"/>
        <v>11.899999999999999</v>
      </c>
      <c r="N17" s="12">
        <v>1</v>
      </c>
      <c r="O17" s="152">
        <f>-19458.3067554756/O7</f>
        <v>-19.458306755475601</v>
      </c>
      <c r="P17" s="152">
        <f>-22466.5592458895/1000</f>
        <v>-22.466559245889499</v>
      </c>
      <c r="Q17" s="152">
        <f>-73033.6320228822/1000</f>
        <v>-73.033632022882202</v>
      </c>
      <c r="R17" s="154">
        <f>-75933.1688454778/1000</f>
        <v>-75.933168845477809</v>
      </c>
      <c r="S17" s="152">
        <f>-84033.8334505895/1000</f>
        <v>-84.033833450589498</v>
      </c>
      <c r="T17" s="152">
        <f>-126378.933783629/1000</f>
        <v>-126.37893378362901</v>
      </c>
      <c r="U17" s="152"/>
      <c r="V17" s="12">
        <f>-167218.474835009/O7</f>
        <v>-167.218474835009</v>
      </c>
      <c r="W17" s="117"/>
      <c r="X17" s="193" t="s">
        <v>43</v>
      </c>
      <c r="Y17" s="106" t="s">
        <v>5</v>
      </c>
      <c r="Z17" s="107" t="s">
        <v>6</v>
      </c>
      <c r="AA17" s="101" t="s">
        <v>7</v>
      </c>
      <c r="AB17" s="97" t="s">
        <v>38</v>
      </c>
      <c r="AC17" s="97" t="s">
        <v>8</v>
      </c>
      <c r="AD17" s="45" t="s">
        <v>9</v>
      </c>
      <c r="AE17" s="184" t="s">
        <v>45</v>
      </c>
      <c r="AF17" s="194">
        <v>-6.0999999999999999E-5</v>
      </c>
      <c r="AG17" s="101"/>
      <c r="AH17" s="46" t="s">
        <v>51</v>
      </c>
      <c r="AI17" s="97" t="s">
        <v>45</v>
      </c>
      <c r="AJ17" s="45" t="s">
        <v>46</v>
      </c>
      <c r="AK17" s="45" t="s">
        <v>52</v>
      </c>
      <c r="AL17" s="27"/>
    </row>
    <row r="18" spans="2:38" x14ac:dyDescent="0.3">
      <c r="B18" s="4"/>
      <c r="C18" s="12">
        <v>1.1000000000000001</v>
      </c>
      <c r="D18" s="82">
        <f t="shared" si="2"/>
        <v>6.1818181818181817</v>
      </c>
      <c r="E18" s="150">
        <f t="shared" si="2"/>
        <v>6.3131818181818176</v>
      </c>
      <c r="F18" s="150">
        <f t="shared" si="2"/>
        <v>7.7272727272727266</v>
      </c>
      <c r="G18" s="150">
        <f t="shared" si="2"/>
        <v>8.1522727272727256</v>
      </c>
      <c r="H18" s="150">
        <f t="shared" si="2"/>
        <v>8.2449999999999992</v>
      </c>
      <c r="I18" s="150">
        <f t="shared" si="2"/>
        <v>8.5</v>
      </c>
      <c r="J18" s="150">
        <f t="shared" si="2"/>
        <v>9.7363636363636363</v>
      </c>
      <c r="K18" s="13">
        <f t="shared" si="2"/>
        <v>10.818181818181817</v>
      </c>
      <c r="N18" s="12">
        <v>1.1000000000000001</v>
      </c>
      <c r="O18" s="157">
        <f>-9878.10233965862/1000</f>
        <v>-9.8781023396586214</v>
      </c>
      <c r="P18" s="150">
        <f>-12518.207597256/O7</f>
        <v>-12.518207597256</v>
      </c>
      <c r="Q18" s="150">
        <f>-61370.96257762/O7</f>
        <v>-61.370962577619999</v>
      </c>
      <c r="R18" s="151">
        <f>-64289.4850163099/O7</f>
        <v>-64.289485016309897</v>
      </c>
      <c r="S18" s="150">
        <f>-72481.0950162104/O7</f>
        <v>-72.481095016210404</v>
      </c>
      <c r="T18" s="150">
        <f>-115371.029469259/O7</f>
        <v>-115.371029469259</v>
      </c>
      <c r="U18" s="150"/>
      <c r="V18" s="13">
        <f>-156859.952202358/O7</f>
        <v>-156.85995220235799</v>
      </c>
      <c r="W18" s="116"/>
      <c r="X18" s="195"/>
      <c r="Y18" s="191">
        <v>7.7344299999999997</v>
      </c>
      <c r="Z18" s="191">
        <v>2.2020469999999999</v>
      </c>
      <c r="AA18" s="187">
        <v>2.7743500000000001</v>
      </c>
      <c r="AB18" s="146">
        <f t="shared" ref="AB18:AB38" si="3">Y18*AA18</f>
        <v>21.458015870499999</v>
      </c>
      <c r="AC18" s="146">
        <f t="shared" ref="AC18:AC37" si="4">Z18*AA18</f>
        <v>6.10924909445</v>
      </c>
      <c r="AD18" s="22">
        <f>AVERAGE(AC18:AC27)</f>
        <v>30.036613816014984</v>
      </c>
      <c r="AE18" s="188">
        <v>283.7</v>
      </c>
      <c r="AF18" s="194">
        <v>2.173E-3</v>
      </c>
      <c r="AG18" s="187"/>
      <c r="AH18" s="110">
        <v>277.04645395154989</v>
      </c>
      <c r="AI18" s="140">
        <v>-239.6</v>
      </c>
      <c r="AJ18" s="12">
        <v>37.446453951549898</v>
      </c>
      <c r="AK18" s="5">
        <v>41.77</v>
      </c>
      <c r="AL18" s="27"/>
    </row>
    <row r="19" spans="2:38" x14ac:dyDescent="0.3">
      <c r="B19" s="4"/>
      <c r="C19" s="12">
        <v>1.2</v>
      </c>
      <c r="D19" s="81">
        <f t="shared" si="2"/>
        <v>5.6666666666666679</v>
      </c>
      <c r="E19" s="157">
        <f t="shared" si="2"/>
        <v>5.7870833333333334</v>
      </c>
      <c r="F19" s="150">
        <f t="shared" si="2"/>
        <v>7.0833333333333339</v>
      </c>
      <c r="G19" s="150">
        <f t="shared" si="2"/>
        <v>7.4729166666666664</v>
      </c>
      <c r="H19" s="150">
        <f t="shared" si="2"/>
        <v>7.5579166666666664</v>
      </c>
      <c r="I19" s="150">
        <f t="shared" si="2"/>
        <v>7.7916666666666679</v>
      </c>
      <c r="J19" s="150">
        <f t="shared" si="2"/>
        <v>8.9250000000000007</v>
      </c>
      <c r="K19" s="13">
        <f t="shared" si="2"/>
        <v>9.9166666666666661</v>
      </c>
      <c r="N19" s="12">
        <v>1.2</v>
      </c>
      <c r="O19" s="158">
        <f>-148.826948215856/O7</f>
        <v>-0.14882694821585599</v>
      </c>
      <c r="P19" s="159">
        <f>-2828.00050522001/O7</f>
        <v>-2.8280005052200101</v>
      </c>
      <c r="Q19" s="152">
        <f>-48744.161511239/O7</f>
        <v>-48.744161511239</v>
      </c>
      <c r="R19" s="154">
        <f>-51613.2696311622/O7</f>
        <v>-51.613269631162197</v>
      </c>
      <c r="S19" s="152">
        <f>-59715.8434852798/O7</f>
        <v>-59.715843485279805</v>
      </c>
      <c r="T19" s="152">
        <f>-102879.372689574/O7</f>
        <v>-102.879372689574</v>
      </c>
      <c r="U19" s="152"/>
      <c r="V19" s="12">
        <f>-144964.616697769/O7</f>
        <v>-144.964616697769</v>
      </c>
      <c r="W19" s="117"/>
      <c r="X19" s="195"/>
      <c r="Y19" s="191">
        <v>14.721963000000001</v>
      </c>
      <c r="Z19" s="191">
        <v>5.4525319999999997</v>
      </c>
      <c r="AA19" s="187">
        <v>3.3770499999999997</v>
      </c>
      <c r="AB19" s="146">
        <f t="shared" si="3"/>
        <v>49.716805149149998</v>
      </c>
      <c r="AC19" s="146">
        <f t="shared" si="4"/>
        <v>18.413473190599998</v>
      </c>
      <c r="AD19" s="102" t="s">
        <v>34</v>
      </c>
      <c r="AE19" s="189" t="s">
        <v>46</v>
      </c>
      <c r="AF19" s="194">
        <v>3.4489999999999998E-3</v>
      </c>
      <c r="AG19" s="187"/>
      <c r="AH19" s="110">
        <v>300.36613816014983</v>
      </c>
      <c r="AI19" s="140">
        <v>-283.7</v>
      </c>
      <c r="AJ19" s="12">
        <v>16.666138160149842</v>
      </c>
      <c r="AK19" s="5">
        <v>17.07</v>
      </c>
      <c r="AL19" s="27"/>
    </row>
    <row r="20" spans="2:38" ht="14" customHeight="1" x14ac:dyDescent="0.3">
      <c r="B20" s="4"/>
      <c r="C20" s="13">
        <v>1.3</v>
      </c>
      <c r="D20" s="37">
        <f t="shared" si="2"/>
        <v>5.2307692307692308</v>
      </c>
      <c r="E20" s="157">
        <f t="shared" si="2"/>
        <v>5.3419230769230763</v>
      </c>
      <c r="F20" s="150">
        <f t="shared" si="2"/>
        <v>6.5384615384615383</v>
      </c>
      <c r="G20" s="150">
        <f t="shared" si="2"/>
        <v>6.8980769230769221</v>
      </c>
      <c r="H20" s="150">
        <f t="shared" si="2"/>
        <v>6.9765384615384614</v>
      </c>
      <c r="I20" s="150">
        <f t="shared" si="2"/>
        <v>7.1923076923076934</v>
      </c>
      <c r="J20" s="150">
        <f t="shared" si="2"/>
        <v>8.2384615384615394</v>
      </c>
      <c r="K20" s="13">
        <f t="shared" si="2"/>
        <v>9.1538461538461533</v>
      </c>
      <c r="N20" s="90">
        <v>1.3</v>
      </c>
      <c r="O20" s="160">
        <f>8766.87267848966/O7</f>
        <v>8.7668726784896602</v>
      </c>
      <c r="P20" s="161">
        <f>6794.52945029023/O7</f>
        <v>6.7945294502902298</v>
      </c>
      <c r="Q20" s="162">
        <f>-35682.8331064966/O7</f>
        <v>-35.682833106496595</v>
      </c>
      <c r="R20" s="163">
        <f>-38407.9060824367/O7</f>
        <v>-38.407906082436696</v>
      </c>
      <c r="S20" s="160">
        <f>-46284.12672042/O7</f>
        <v>-46.284126720419998</v>
      </c>
      <c r="T20" s="160">
        <f>-88990.1509480063/O7</f>
        <v>-88.990150948006303</v>
      </c>
      <c r="U20" s="160"/>
      <c r="V20" s="39">
        <f>-131430.456122645/O7</f>
        <v>-131.43045612264501</v>
      </c>
      <c r="W20" s="118"/>
      <c r="X20" s="195"/>
      <c r="Y20" s="191">
        <v>20.793005000000001</v>
      </c>
      <c r="Z20" s="191">
        <v>7.2822209999999998</v>
      </c>
      <c r="AA20" s="187">
        <v>3.9797500000000001</v>
      </c>
      <c r="AB20" s="146">
        <f t="shared" si="3"/>
        <v>82.750961648750007</v>
      </c>
      <c r="AC20" s="146">
        <f t="shared" si="4"/>
        <v>28.98141902475</v>
      </c>
      <c r="AD20" s="103">
        <f>SUM(AC18:AC27)</f>
        <v>300.36613816014983</v>
      </c>
      <c r="AE20" s="190">
        <f>AD20-AE18</f>
        <v>16.666138160149842</v>
      </c>
      <c r="AF20" s="194">
        <v>4.1999999999999997E-3</v>
      </c>
      <c r="AG20" s="187"/>
      <c r="AH20" s="18">
        <v>214.34034559189064</v>
      </c>
      <c r="AI20" s="2">
        <v>-214.6</v>
      </c>
      <c r="AJ20" s="15">
        <v>-0.25965440810935547</v>
      </c>
      <c r="AK20" s="6">
        <v>0.12</v>
      </c>
      <c r="AL20" s="27"/>
    </row>
    <row r="21" spans="2:38" x14ac:dyDescent="0.3">
      <c r="B21" s="4"/>
      <c r="C21" s="13">
        <v>1.4</v>
      </c>
      <c r="D21" s="37">
        <f t="shared" ref="D21:K32" si="5">D$10*$K$8/$C21</f>
        <v>4.8571428571428577</v>
      </c>
      <c r="E21" s="150">
        <f t="shared" si="5"/>
        <v>4.9603571428571431</v>
      </c>
      <c r="F21" s="157">
        <f t="shared" si="5"/>
        <v>6.0714285714285721</v>
      </c>
      <c r="G21" s="150">
        <f t="shared" si="5"/>
        <v>6.4053571428571425</v>
      </c>
      <c r="H21" s="150">
        <f t="shared" si="5"/>
        <v>6.4782142857142855</v>
      </c>
      <c r="I21" s="150">
        <f t="shared" si="5"/>
        <v>6.6785714285714297</v>
      </c>
      <c r="J21" s="150">
        <f t="shared" si="5"/>
        <v>7.6500000000000012</v>
      </c>
      <c r="K21" s="13">
        <f t="shared" si="5"/>
        <v>8.5</v>
      </c>
      <c r="N21" s="80">
        <v>1.4</v>
      </c>
      <c r="O21" s="155">
        <f>15845.0900317382/O7</f>
        <v>15.8450900317382</v>
      </c>
      <c r="P21" s="164">
        <f>13644.420773221/O7</f>
        <v>13.644420773221</v>
      </c>
      <c r="Q21" s="164">
        <f>-22625.7771596973/O7</f>
        <v>-22.6257771596973</v>
      </c>
      <c r="R21" s="156">
        <f>-25119.5885776609/O7</f>
        <v>-25.119588577660899</v>
      </c>
      <c r="S21" s="155">
        <f>-32566.9615023401/O7</f>
        <v>-32.566961502340099</v>
      </c>
      <c r="T21" s="155">
        <f>-74071.7778068188/O7</f>
        <v>-74.071777806818801</v>
      </c>
      <c r="U21" s="155"/>
      <c r="V21" s="80">
        <f>-116544.333286623/O7</f>
        <v>-116.544333286623</v>
      </c>
      <c r="W21" s="119"/>
      <c r="X21" s="195"/>
      <c r="Y21" s="191">
        <v>24.336095</v>
      </c>
      <c r="Z21" s="191">
        <v>7.126125</v>
      </c>
      <c r="AA21" s="187">
        <v>4.5824499999999997</v>
      </c>
      <c r="AB21" s="146">
        <f t="shared" si="3"/>
        <v>111.51893853275</v>
      </c>
      <c r="AC21" s="146">
        <f t="shared" si="4"/>
        <v>32.655111506249995</v>
      </c>
      <c r="AD21" s="99" t="s">
        <v>36</v>
      </c>
      <c r="AE21" s="140" t="s">
        <v>53</v>
      </c>
      <c r="AF21" s="194">
        <v>4.6290000000000003E-3</v>
      </c>
      <c r="AG21" s="187"/>
      <c r="AH21" s="140"/>
      <c r="AI21" s="140"/>
      <c r="AJ21" s="140"/>
      <c r="AK21" s="140"/>
      <c r="AL21" s="27"/>
    </row>
    <row r="22" spans="2:38" x14ac:dyDescent="0.3">
      <c r="B22" s="4"/>
      <c r="C22" s="13">
        <v>1.5</v>
      </c>
      <c r="D22" s="37">
        <f t="shared" si="5"/>
        <v>4.5333333333333341</v>
      </c>
      <c r="E22" s="150">
        <f t="shared" si="5"/>
        <v>4.6296666666666662</v>
      </c>
      <c r="F22" s="157">
        <f t="shared" si="5"/>
        <v>5.666666666666667</v>
      </c>
      <c r="G22" s="157">
        <f t="shared" si="5"/>
        <v>5.9783333333333326</v>
      </c>
      <c r="H22" s="150">
        <f t="shared" si="5"/>
        <v>6.0463333333333331</v>
      </c>
      <c r="I22" s="150">
        <f t="shared" si="5"/>
        <v>6.2333333333333343</v>
      </c>
      <c r="J22" s="150">
        <f t="shared" si="5"/>
        <v>7.1400000000000006</v>
      </c>
      <c r="K22" s="13">
        <f t="shared" si="5"/>
        <v>7.9333333333333327</v>
      </c>
      <c r="N22" s="80">
        <v>1.5</v>
      </c>
      <c r="O22" s="155">
        <f>22308.7240368833/O7</f>
        <v>22.308724036883302</v>
      </c>
      <c r="P22" s="164">
        <f>21210.8862396963/O7</f>
        <v>21.2108862396963</v>
      </c>
      <c r="Q22" s="164">
        <f>-10312.0490184821/O7</f>
        <v>-10.312049018482099</v>
      </c>
      <c r="R22" s="156">
        <f>-12936.4158012557/O7</f>
        <v>-12.9364158012557</v>
      </c>
      <c r="S22" s="155">
        <f>-19188.2620023924/O7</f>
        <v>-19.188262002392399</v>
      </c>
      <c r="T22" s="155">
        <f>-58615.9062116396/O7</f>
        <v>-58.615906211639604</v>
      </c>
      <c r="U22" s="155"/>
      <c r="V22" s="80">
        <f>-100434.131188201/O7</f>
        <v>-100.43413118820101</v>
      </c>
      <c r="W22" s="119"/>
      <c r="X22" s="195"/>
      <c r="Y22" s="191">
        <v>27.100745</v>
      </c>
      <c r="Z22" s="191">
        <v>6.5795620000000001</v>
      </c>
      <c r="AA22" s="187">
        <v>5.1851499999999948</v>
      </c>
      <c r="AB22" s="146">
        <f t="shared" si="3"/>
        <v>140.52142793674986</v>
      </c>
      <c r="AC22" s="146">
        <f t="shared" si="4"/>
        <v>34.116015904299964</v>
      </c>
      <c r="AD22" s="100">
        <f>AD20/(0.5*1.025*PI()*8.5^3*2^2)</f>
        <v>7.5943474009698156E-2</v>
      </c>
      <c r="AE22" s="146">
        <f>AD27/AE18</f>
        <v>1.0587456403248143</v>
      </c>
      <c r="AF22" s="194">
        <v>4.8450000000000003E-3</v>
      </c>
      <c r="AG22" s="187"/>
      <c r="AH22" s="140"/>
      <c r="AI22" s="140"/>
      <c r="AJ22" s="140"/>
      <c r="AK22" s="140"/>
      <c r="AL22" s="27"/>
    </row>
    <row r="23" spans="2:38" x14ac:dyDescent="0.3">
      <c r="B23" s="4"/>
      <c r="C23" s="13">
        <v>1.6</v>
      </c>
      <c r="D23" s="37">
        <f t="shared" si="5"/>
        <v>4.25</v>
      </c>
      <c r="E23" s="150">
        <f t="shared" si="5"/>
        <v>4.3403124999999996</v>
      </c>
      <c r="F23" s="150">
        <f t="shared" si="5"/>
        <v>5.3125</v>
      </c>
      <c r="G23" s="157">
        <f t="shared" si="5"/>
        <v>5.6046874999999989</v>
      </c>
      <c r="H23" s="177">
        <f t="shared" si="5"/>
        <v>5.6684374999999996</v>
      </c>
      <c r="I23" s="157">
        <f t="shared" si="5"/>
        <v>5.8437500000000009</v>
      </c>
      <c r="J23" s="150">
        <f t="shared" si="5"/>
        <v>6.6937500000000005</v>
      </c>
      <c r="K23" s="13">
        <f t="shared" si="5"/>
        <v>7.4374999999999991</v>
      </c>
      <c r="N23" s="87">
        <v>1.6</v>
      </c>
      <c r="O23" s="160">
        <f>27496.6407493841/1000</f>
        <v>27.496640749384099</v>
      </c>
      <c r="P23" s="155">
        <f>26889.4293636456/O7</f>
        <v>26.889429363645597</v>
      </c>
      <c r="Q23" s="161">
        <f>1906.05259435748/O7</f>
        <v>1.90605259435748</v>
      </c>
      <c r="R23" s="165">
        <f>667.863735047656/O7</f>
        <v>0.66786373504765595</v>
      </c>
      <c r="S23" s="164">
        <f>-6654.39652815757/O7</f>
        <v>-6.6543965281575703</v>
      </c>
      <c r="T23" s="160">
        <f>-42869.3138224872/1000</f>
        <v>-42.8693138224872</v>
      </c>
      <c r="U23" s="160"/>
      <c r="V23" s="39">
        <f>-83516.9087590395/1000</f>
        <v>-83.516908759039509</v>
      </c>
      <c r="W23" s="118"/>
      <c r="X23" s="195"/>
      <c r="Y23" s="191">
        <v>29.665424999999999</v>
      </c>
      <c r="Z23" s="191">
        <v>6.0380380000000002</v>
      </c>
      <c r="AA23" s="187">
        <v>5.7878499999999953</v>
      </c>
      <c r="AB23" s="146">
        <f t="shared" si="3"/>
        <v>171.69903008624985</v>
      </c>
      <c r="AC23" s="146">
        <f t="shared" si="4"/>
        <v>34.947258238299973</v>
      </c>
      <c r="AD23" s="5"/>
      <c r="AE23" s="140"/>
      <c r="AF23" s="194">
        <v>4.9300000000000004E-3</v>
      </c>
      <c r="AG23" s="187"/>
      <c r="AH23" s="140"/>
      <c r="AI23" s="140"/>
      <c r="AJ23" s="140"/>
      <c r="AK23" s="140"/>
      <c r="AL23" s="27"/>
    </row>
    <row r="24" spans="2:38" x14ac:dyDescent="0.3">
      <c r="B24" s="4"/>
      <c r="C24" s="13">
        <v>1.7</v>
      </c>
      <c r="D24" s="37">
        <f t="shared" si="5"/>
        <v>4.0000000000000009</v>
      </c>
      <c r="E24" s="150">
        <f t="shared" si="5"/>
        <v>4.085</v>
      </c>
      <c r="F24" s="150">
        <f t="shared" si="5"/>
        <v>5</v>
      </c>
      <c r="G24" s="150">
        <f t="shared" si="5"/>
        <v>5.2749999999999995</v>
      </c>
      <c r="H24" s="150">
        <f t="shared" si="5"/>
        <v>5.335</v>
      </c>
      <c r="I24" s="157">
        <f t="shared" si="5"/>
        <v>5.5000000000000009</v>
      </c>
      <c r="J24" s="157">
        <f t="shared" si="5"/>
        <v>6.3000000000000007</v>
      </c>
      <c r="K24" s="13">
        <f t="shared" si="5"/>
        <v>6.9999999999999991</v>
      </c>
      <c r="N24" s="80">
        <v>1.7</v>
      </c>
      <c r="O24" s="155">
        <f>32327.401514601/O7</f>
        <v>32.327401514601</v>
      </c>
      <c r="P24" s="155">
        <f>32014.702223426/O7</f>
        <v>32.014702223425999</v>
      </c>
      <c r="Q24" s="155">
        <f>13976.556656963/O7</f>
        <v>13.976556656963</v>
      </c>
      <c r="R24" s="156">
        <f>12679.4675452998/O7</f>
        <v>12.679467545299801</v>
      </c>
      <c r="S24" s="164">
        <f>5589.39758570378/O7</f>
        <v>5.5893975857037805</v>
      </c>
      <c r="T24" s="164">
        <f>-27520.248041047/O7</f>
        <v>-27.520248041047001</v>
      </c>
      <c r="U24" s="155"/>
      <c r="V24" s="80">
        <f>-66252.6129228237/O7</f>
        <v>-66.252612922823701</v>
      </c>
      <c r="W24" s="119"/>
      <c r="X24" s="195"/>
      <c r="Y24" s="191">
        <v>32.394146999999997</v>
      </c>
      <c r="Z24" s="191">
        <v>5.7276999999999996</v>
      </c>
      <c r="AA24" s="187">
        <v>6.3905499999999948</v>
      </c>
      <c r="AB24" s="146">
        <f t="shared" si="3"/>
        <v>207.0164161108498</v>
      </c>
      <c r="AC24" s="146">
        <f t="shared" si="4"/>
        <v>36.603153234999965</v>
      </c>
      <c r="AD24" s="98" t="s">
        <v>10</v>
      </c>
      <c r="AE24" s="140"/>
      <c r="AF24" s="194">
        <v>5.0639999999999999E-3</v>
      </c>
      <c r="AG24" s="187"/>
      <c r="AH24" s="140"/>
      <c r="AI24" s="140"/>
      <c r="AJ24" s="140"/>
      <c r="AK24" s="140"/>
      <c r="AL24" s="27"/>
    </row>
    <row r="25" spans="2:38" x14ac:dyDescent="0.3">
      <c r="B25" s="4"/>
      <c r="C25" s="13">
        <v>1.8</v>
      </c>
      <c r="D25" s="37">
        <f t="shared" si="5"/>
        <v>3.7777777777777781</v>
      </c>
      <c r="E25" s="150">
        <f t="shared" si="5"/>
        <v>3.8580555555555551</v>
      </c>
      <c r="F25" s="150">
        <f t="shared" si="5"/>
        <v>4.7222222222222223</v>
      </c>
      <c r="G25" s="150">
        <f t="shared" si="5"/>
        <v>4.9819444444444443</v>
      </c>
      <c r="H25" s="150">
        <f t="shared" si="5"/>
        <v>5.0386111111111109</v>
      </c>
      <c r="I25" s="157">
        <f t="shared" si="5"/>
        <v>5.1944444444444455</v>
      </c>
      <c r="J25" s="157">
        <f t="shared" si="5"/>
        <v>5.95</v>
      </c>
      <c r="K25" s="13">
        <f t="shared" si="5"/>
        <v>6.6111111111111098</v>
      </c>
      <c r="N25" s="80">
        <v>1.8</v>
      </c>
      <c r="O25" s="155">
        <f>36726.6590188833/O7</f>
        <v>36.726659018883296</v>
      </c>
      <c r="P25" s="155">
        <f>36668.516477542/O7</f>
        <v>36.668516477541999</v>
      </c>
      <c r="Q25" s="155">
        <f>22866.2003611178/O7</f>
        <v>22.866200361117802</v>
      </c>
      <c r="R25" s="156">
        <f>22470.2489271001/O7</f>
        <v>22.470248927100098</v>
      </c>
      <c r="S25" s="164">
        <f>18379.8336451094/O7</f>
        <v>18.3798336451094</v>
      </c>
      <c r="T25" s="164">
        <f>-12790.3131448235/O7</f>
        <v>-12.7903131448235</v>
      </c>
      <c r="U25" s="155"/>
      <c r="V25" s="80">
        <f>-48819.6984747224/O7</f>
        <v>-48.819698474722401</v>
      </c>
      <c r="W25" s="119"/>
      <c r="X25" s="195"/>
      <c r="Y25" s="191">
        <v>35.403678999999997</v>
      </c>
      <c r="Z25" s="191">
        <v>5.597016</v>
      </c>
      <c r="AA25" s="187">
        <v>6.9932499999999944</v>
      </c>
      <c r="AB25" s="146">
        <f t="shared" si="3"/>
        <v>247.58677816674978</v>
      </c>
      <c r="AC25" s="146">
        <f t="shared" si="4"/>
        <v>39.141332141999968</v>
      </c>
      <c r="AD25" s="22">
        <f>AVERAGE(AC18:AC27)</f>
        <v>30.036613816014984</v>
      </c>
      <c r="AE25" s="140"/>
      <c r="AF25" s="194">
        <v>5.4559999999999999E-3</v>
      </c>
      <c r="AG25" s="187"/>
      <c r="AH25" s="196" t="s">
        <v>48</v>
      </c>
      <c r="AI25" s="196" t="s">
        <v>54</v>
      </c>
      <c r="AJ25" s="196" t="s">
        <v>49</v>
      </c>
      <c r="AK25" s="197"/>
      <c r="AL25" s="27"/>
    </row>
    <row r="26" spans="2:38" ht="14.5" thickBot="1" x14ac:dyDescent="0.35">
      <c r="B26" s="4"/>
      <c r="C26" s="13">
        <v>1.9</v>
      </c>
      <c r="D26" s="37">
        <f t="shared" si="5"/>
        <v>3.5789473684210531</v>
      </c>
      <c r="E26" s="150">
        <f t="shared" si="5"/>
        <v>3.6549999999999998</v>
      </c>
      <c r="F26" s="150">
        <f t="shared" si="5"/>
        <v>4.4736842105263159</v>
      </c>
      <c r="G26" s="150">
        <f t="shared" si="5"/>
        <v>4.719736842105263</v>
      </c>
      <c r="H26" s="150">
        <f t="shared" si="5"/>
        <v>4.773421052631579</v>
      </c>
      <c r="I26" s="150">
        <f t="shared" si="5"/>
        <v>4.9210526315789487</v>
      </c>
      <c r="J26" s="157">
        <f t="shared" si="5"/>
        <v>5.6368421052631588</v>
      </c>
      <c r="K26" s="13">
        <f t="shared" si="5"/>
        <v>6.2631578947368416</v>
      </c>
      <c r="L26" s="1"/>
      <c r="N26" s="80">
        <v>1.9</v>
      </c>
      <c r="O26" s="166">
        <f>40786.1471349434/O7</f>
        <v>40.786147134943398</v>
      </c>
      <c r="P26" s="155">
        <f>40926.189511529/O7</f>
        <v>40.926189511529003</v>
      </c>
      <c r="Q26" s="155">
        <f>32972.728520339/O7</f>
        <v>32.972728520338997</v>
      </c>
      <c r="R26" s="156">
        <f>31924.880828899/O7</f>
        <v>31.924880828898999</v>
      </c>
      <c r="S26" s="155">
        <f>26512.2238927724/O7</f>
        <v>26.512223892772401</v>
      </c>
      <c r="T26" s="164">
        <f>1302.21205851822/O7</f>
        <v>1.30221205851822</v>
      </c>
      <c r="U26" s="155"/>
      <c r="V26" s="80">
        <f>-31628.1290672784/O7</f>
        <v>-31.628129067278401</v>
      </c>
      <c r="W26" s="119"/>
      <c r="X26" s="195"/>
      <c r="Y26" s="191">
        <v>38.736013</v>
      </c>
      <c r="Z26" s="191">
        <v>5.322095</v>
      </c>
      <c r="AA26" s="187">
        <v>7.5959500000000002</v>
      </c>
      <c r="AB26" s="146">
        <f t="shared" si="3"/>
        <v>294.23681794735</v>
      </c>
      <c r="AC26" s="146">
        <f t="shared" si="4"/>
        <v>40.42636751525</v>
      </c>
      <c r="AD26" s="98" t="s">
        <v>39</v>
      </c>
      <c r="AE26" s="140"/>
      <c r="AF26" s="194">
        <v>6.5319999999999996E-3</v>
      </c>
      <c r="AG26" s="187"/>
      <c r="AH26" s="146">
        <v>2.4729999999999999</v>
      </c>
      <c r="AI26" s="140">
        <v>4.5219150377832198E-5</v>
      </c>
      <c r="AJ26" s="140">
        <v>-4.5219150377832198E-5</v>
      </c>
      <c r="AK26" s="197"/>
      <c r="AL26" s="27"/>
    </row>
    <row r="27" spans="2:38" ht="14.5" thickBot="1" x14ac:dyDescent="0.35">
      <c r="B27" s="4"/>
      <c r="C27" s="12">
        <v>2</v>
      </c>
      <c r="D27" s="37">
        <f t="shared" si="5"/>
        <v>3.4000000000000004</v>
      </c>
      <c r="E27" s="150">
        <f t="shared" si="5"/>
        <v>3.4722499999999998</v>
      </c>
      <c r="F27" s="150">
        <f t="shared" si="5"/>
        <v>4.25</v>
      </c>
      <c r="G27" s="114">
        <f t="shared" si="5"/>
        <v>4.4837499999999997</v>
      </c>
      <c r="H27" s="178">
        <f t="shared" si="5"/>
        <v>4.5347499999999998</v>
      </c>
      <c r="I27" s="150">
        <f t="shared" si="5"/>
        <v>4.6750000000000007</v>
      </c>
      <c r="J27" s="179">
        <f t="shared" si="5"/>
        <v>5.3550000000000004</v>
      </c>
      <c r="K27" s="36">
        <f t="shared" si="5"/>
        <v>5.9499999999999993</v>
      </c>
      <c r="N27" s="12">
        <v>2</v>
      </c>
      <c r="O27" s="144">
        <f>44305.9009586765/O7</f>
        <v>44.305900958676503</v>
      </c>
      <c r="P27" s="144">
        <f>44716.9046222178/O7</f>
        <v>44.716904622217797</v>
      </c>
      <c r="Q27" s="145">
        <f>40875.6917853523/1000</f>
        <v>40.875691785352295</v>
      </c>
      <c r="R27" s="167">
        <f>40304.2823222764/O7</f>
        <v>40.3042823222764</v>
      </c>
      <c r="S27" s="145">
        <f>37840.0889568535/1000</f>
        <v>37.840088956853499</v>
      </c>
      <c r="T27" s="145">
        <v>17.068977449311301</v>
      </c>
      <c r="U27" s="168">
        <f>121.584860823293/O7</f>
        <v>0.12158486082329299</v>
      </c>
      <c r="V27" s="36">
        <f>-15178.3925464628/1000</f>
        <v>-15.178392546462799</v>
      </c>
      <c r="W27" s="120"/>
      <c r="X27" s="195"/>
      <c r="Y27" s="191">
        <v>42.526569000000002</v>
      </c>
      <c r="Z27" s="198">
        <f>5.033845-1.5</f>
        <v>3.5338450000000003</v>
      </c>
      <c r="AA27" s="187">
        <v>8.1986500000000007</v>
      </c>
      <c r="AB27" s="146">
        <f t="shared" si="3"/>
        <v>348.66045493185004</v>
      </c>
      <c r="AC27" s="146">
        <f t="shared" si="4"/>
        <v>28.972758309250004</v>
      </c>
      <c r="AD27" s="22">
        <f>SUM(AC18:AC27)</f>
        <v>300.36613816014983</v>
      </c>
      <c r="AE27" s="140"/>
      <c r="AF27" s="109">
        <v>7.7229999999999998E-3</v>
      </c>
      <c r="AG27" s="187"/>
      <c r="AH27" s="146">
        <v>3.0756999999999999</v>
      </c>
      <c r="AI27" s="199">
        <v>9.6253703933549001E-3</v>
      </c>
      <c r="AJ27" s="199">
        <v>2.3352665185932E-3</v>
      </c>
      <c r="AK27" s="197"/>
      <c r="AL27" s="27"/>
    </row>
    <row r="28" spans="2:38" ht="14" customHeight="1" x14ac:dyDescent="0.3">
      <c r="B28" s="7"/>
      <c r="C28" s="15">
        <v>2.1</v>
      </c>
      <c r="D28" s="37">
        <f t="shared" si="5"/>
        <v>3.2380952380952381</v>
      </c>
      <c r="E28" s="150">
        <f t="shared" si="5"/>
        <v>3.3069047619047618</v>
      </c>
      <c r="F28" s="150">
        <f t="shared" si="5"/>
        <v>4.0476190476190474</v>
      </c>
      <c r="G28" s="150">
        <f t="shared" si="5"/>
        <v>4.2702380952380947</v>
      </c>
      <c r="H28" s="150">
        <f t="shared" si="5"/>
        <v>4.3188095238095237</v>
      </c>
      <c r="I28" s="150">
        <f t="shared" si="5"/>
        <v>4.4523809523809526</v>
      </c>
      <c r="J28" s="150">
        <f t="shared" si="5"/>
        <v>5.1000000000000005</v>
      </c>
      <c r="K28" s="36">
        <f t="shared" si="5"/>
        <v>5.6666666666666661</v>
      </c>
      <c r="N28" s="12">
        <v>2.5</v>
      </c>
      <c r="O28" s="144">
        <f>58445.2830945128/1000</f>
        <v>58.445283094512803</v>
      </c>
      <c r="P28" s="144">
        <f>59670.4886172644/1000</f>
        <v>59.670488617264397</v>
      </c>
      <c r="Q28" s="144">
        <f>71173.5684308739/1000</f>
        <v>71.1735684308739</v>
      </c>
      <c r="R28" s="169">
        <f>71332.609194232/1000</f>
        <v>71.332609194232006</v>
      </c>
      <c r="S28" s="144">
        <f>71578.9133696921/1000</f>
        <v>71.578913369692103</v>
      </c>
      <c r="T28" s="150">
        <f>68027.4389752374/1000</f>
        <v>68.027438975237402</v>
      </c>
      <c r="U28" s="150"/>
      <c r="V28" s="36">
        <f>57287.481882121/1000</f>
        <v>57.287481882121</v>
      </c>
      <c r="W28" s="120"/>
      <c r="X28" s="193" t="s">
        <v>47</v>
      </c>
      <c r="Y28" s="106" t="s">
        <v>5</v>
      </c>
      <c r="Z28" s="107" t="s">
        <v>6</v>
      </c>
      <c r="AA28" s="101" t="s">
        <v>7</v>
      </c>
      <c r="AB28" s="97" t="s">
        <v>38</v>
      </c>
      <c r="AC28" s="97" t="s">
        <v>8</v>
      </c>
      <c r="AD28" s="45" t="s">
        <v>9</v>
      </c>
      <c r="AE28" s="184" t="s">
        <v>45</v>
      </c>
      <c r="AF28" s="196" t="s">
        <v>50</v>
      </c>
      <c r="AG28" s="140"/>
      <c r="AH28" s="146">
        <v>3.6783999999999999</v>
      </c>
      <c r="AI28" s="199">
        <v>2.15310342578948E-2</v>
      </c>
      <c r="AJ28" s="199">
        <v>3.6502797552659901E-3</v>
      </c>
      <c r="AK28" s="140"/>
      <c r="AL28" s="27"/>
    </row>
    <row r="29" spans="2:38" x14ac:dyDescent="0.3">
      <c r="B29" s="7"/>
      <c r="C29" s="15">
        <v>2.5</v>
      </c>
      <c r="D29" s="37">
        <f t="shared" si="5"/>
        <v>2.72</v>
      </c>
      <c r="E29" s="150">
        <f t="shared" si="5"/>
        <v>2.7778</v>
      </c>
      <c r="F29" s="150">
        <f t="shared" si="5"/>
        <v>3.4</v>
      </c>
      <c r="G29" s="150">
        <f t="shared" si="5"/>
        <v>3.5869999999999997</v>
      </c>
      <c r="H29" s="150">
        <f t="shared" si="5"/>
        <v>3.6277999999999997</v>
      </c>
      <c r="I29" s="150">
        <f t="shared" si="5"/>
        <v>3.7400000000000007</v>
      </c>
      <c r="J29" s="150">
        <f t="shared" si="5"/>
        <v>4.2840000000000007</v>
      </c>
      <c r="K29" s="13">
        <f t="shared" si="5"/>
        <v>4.76</v>
      </c>
      <c r="N29" s="12">
        <v>3</v>
      </c>
      <c r="O29" s="144">
        <f>74186.918728775/1000</f>
        <v>74.186918728774998</v>
      </c>
      <c r="P29" s="144">
        <f>75033.052508526/O7</f>
        <v>75.033052508525998</v>
      </c>
      <c r="Q29" s="144">
        <f>92407.1736982044/1000</f>
        <v>92.407173698204389</v>
      </c>
      <c r="R29" s="169">
        <f>93314.7009488106/O7</f>
        <v>93.314700948810597</v>
      </c>
      <c r="S29" s="144">
        <f>95522.4437460335/O7</f>
        <v>95.522443746033503</v>
      </c>
      <c r="T29" s="144">
        <f>102398.841365823/1000</f>
        <v>102.398841365823</v>
      </c>
      <c r="U29" s="144"/>
      <c r="V29" s="40">
        <f>102859.825192984/1000</f>
        <v>102.859825192984</v>
      </c>
      <c r="W29" s="121"/>
      <c r="X29" s="195"/>
      <c r="Y29" s="191">
        <v>12.635035273183352</v>
      </c>
      <c r="Z29" s="191">
        <v>7.009436007884867</v>
      </c>
      <c r="AA29" s="187">
        <v>2.7743500000000001</v>
      </c>
      <c r="AB29" s="146">
        <f t="shared" si="3"/>
        <v>35.054010110156234</v>
      </c>
      <c r="AC29" s="146">
        <f>Z29*AA29</f>
        <v>19.44662878847538</v>
      </c>
      <c r="AD29" s="22">
        <f>AVERAGE(AC29:AC38)</f>
        <v>21.434034559189065</v>
      </c>
      <c r="AE29" s="188">
        <v>214.6</v>
      </c>
      <c r="AF29" s="194">
        <v>-6.4999999999999994E-5</v>
      </c>
      <c r="AG29" s="140"/>
      <c r="AH29" s="146">
        <v>4.2811000000000003</v>
      </c>
      <c r="AI29" s="199">
        <v>3.5335470657978901E-2</v>
      </c>
      <c r="AJ29" s="199">
        <v>4.4161772160664099E-3</v>
      </c>
      <c r="AK29" s="140"/>
      <c r="AL29" s="27"/>
    </row>
    <row r="30" spans="2:38" x14ac:dyDescent="0.3">
      <c r="B30" s="7"/>
      <c r="C30" s="15">
        <v>3</v>
      </c>
      <c r="D30" s="37">
        <f t="shared" si="5"/>
        <v>2.2666666666666671</v>
      </c>
      <c r="E30" s="150">
        <f t="shared" si="5"/>
        <v>2.3148333333333331</v>
      </c>
      <c r="F30" s="150">
        <f t="shared" si="5"/>
        <v>2.8333333333333335</v>
      </c>
      <c r="G30" s="150">
        <f t="shared" si="5"/>
        <v>2.9891666666666663</v>
      </c>
      <c r="H30" s="150">
        <f t="shared" si="5"/>
        <v>3.0231666666666666</v>
      </c>
      <c r="I30" s="150">
        <f t="shared" si="5"/>
        <v>3.1166666666666671</v>
      </c>
      <c r="J30" s="150">
        <f t="shared" si="5"/>
        <v>3.5700000000000003</v>
      </c>
      <c r="K30" s="13">
        <f t="shared" si="5"/>
        <v>3.9666666666666663</v>
      </c>
      <c r="M30" s="141"/>
      <c r="N30" s="15">
        <v>4</v>
      </c>
      <c r="O30" s="41">
        <f>112109.255688765/1000</f>
        <v>112.109255688765</v>
      </c>
      <c r="P30" s="41">
        <f>113427.02811635/O7</f>
        <v>113.42702811635</v>
      </c>
      <c r="Q30" s="41">
        <f>131276.135306664/1000</f>
        <v>131.27613530666397</v>
      </c>
      <c r="R30" s="42">
        <f>132218.619245148/O7</f>
        <v>132.21861924514801</v>
      </c>
      <c r="S30" s="41">
        <f>134536.338137239/O7</f>
        <v>134.53633813723903</v>
      </c>
      <c r="T30" s="41">
        <f>148754.604859499/1000</f>
        <v>148.75460485949901</v>
      </c>
      <c r="U30" s="41"/>
      <c r="V30" s="43">
        <f>164401.899069682/1000</f>
        <v>164.401899069682</v>
      </c>
      <c r="W30" s="121"/>
      <c r="X30" s="195"/>
      <c r="Y30" s="191">
        <v>15.324160094849056</v>
      </c>
      <c r="Z30" s="191">
        <v>6.6895896784219158</v>
      </c>
      <c r="AA30" s="187">
        <v>3.3770499999999997</v>
      </c>
      <c r="AB30" s="146">
        <f t="shared" si="3"/>
        <v>51.75045484831</v>
      </c>
      <c r="AC30" s="146">
        <f t="shared" si="4"/>
        <v>22.591078823514728</v>
      </c>
      <c r="AD30" s="102" t="s">
        <v>34</v>
      </c>
      <c r="AE30" s="189" t="s">
        <v>46</v>
      </c>
      <c r="AF30" s="194">
        <v>2.1510000000000001E-3</v>
      </c>
      <c r="AG30" s="140"/>
      <c r="AH30" s="146">
        <v>4.8837999999999999</v>
      </c>
      <c r="AI30" s="199">
        <v>5.0313852135477101E-2</v>
      </c>
      <c r="AJ30" s="199">
        <v>4.8697631967558903E-3</v>
      </c>
      <c r="AK30" s="140"/>
      <c r="AL30" s="27"/>
    </row>
    <row r="31" spans="2:38" x14ac:dyDescent="0.3">
      <c r="B31" s="7"/>
      <c r="C31" s="15">
        <v>4</v>
      </c>
      <c r="D31" s="37">
        <f t="shared" si="5"/>
        <v>1.7000000000000002</v>
      </c>
      <c r="E31" s="150">
        <f t="shared" si="5"/>
        <v>1.7361249999999999</v>
      </c>
      <c r="F31" s="150">
        <f t="shared" si="5"/>
        <v>2.125</v>
      </c>
      <c r="G31" s="152">
        <f t="shared" si="5"/>
        <v>2.2418749999999998</v>
      </c>
      <c r="H31" s="152">
        <f t="shared" si="5"/>
        <v>2.2673749999999999</v>
      </c>
      <c r="I31" s="152">
        <f t="shared" si="5"/>
        <v>2.3375000000000004</v>
      </c>
      <c r="J31" s="152">
        <f t="shared" si="5"/>
        <v>2.6775000000000002</v>
      </c>
      <c r="K31" s="12">
        <f t="shared" si="5"/>
        <v>2.9749999999999996</v>
      </c>
      <c r="L31" s="143"/>
      <c r="N31" s="170"/>
      <c r="X31" s="195"/>
      <c r="Y31" s="191">
        <v>16.122459374786345</v>
      </c>
      <c r="Z31" s="191">
        <v>5.7021950109960731</v>
      </c>
      <c r="AA31" s="187">
        <v>3.9797500000000001</v>
      </c>
      <c r="AB31" s="146">
        <f t="shared" si="3"/>
        <v>64.16335769680596</v>
      </c>
      <c r="AC31" s="146">
        <f t="shared" si="4"/>
        <v>22.693310595011621</v>
      </c>
      <c r="AD31" s="103">
        <f>SUM(AC29:AC38)</f>
        <v>214.34034559189064</v>
      </c>
      <c r="AE31" s="190">
        <f>AD31-AE29</f>
        <v>-0.25965440810935547</v>
      </c>
      <c r="AF31" s="194">
        <v>3.4220000000000001E-3</v>
      </c>
      <c r="AG31" s="140"/>
      <c r="AH31" s="146">
        <v>5.4864999999999897</v>
      </c>
      <c r="AI31" s="199">
        <v>6.5625537223717403E-2</v>
      </c>
      <c r="AJ31" s="199">
        <v>5.14457571290857E-3</v>
      </c>
      <c r="AK31" s="140"/>
      <c r="AL31" s="27"/>
    </row>
    <row r="32" spans="2:38" x14ac:dyDescent="0.3">
      <c r="B32" s="7"/>
      <c r="C32" s="15">
        <v>5</v>
      </c>
      <c r="D32" s="38">
        <f t="shared" si="5"/>
        <v>1.36</v>
      </c>
      <c r="E32" s="150">
        <f t="shared" si="5"/>
        <v>1.3889</v>
      </c>
      <c r="F32" s="150">
        <f t="shared" si="5"/>
        <v>1.7</v>
      </c>
      <c r="G32" s="34">
        <f t="shared" si="5"/>
        <v>1.7934999999999999</v>
      </c>
      <c r="H32" s="34">
        <f t="shared" si="5"/>
        <v>1.8138999999999998</v>
      </c>
      <c r="I32" s="34">
        <f t="shared" si="5"/>
        <v>1.8700000000000003</v>
      </c>
      <c r="J32" s="34">
        <f t="shared" si="5"/>
        <v>2.1420000000000003</v>
      </c>
      <c r="K32" s="35">
        <f t="shared" si="5"/>
        <v>2.38</v>
      </c>
      <c r="L32" s="143"/>
      <c r="Q32" s="171"/>
      <c r="X32" s="195"/>
      <c r="Y32" s="191">
        <v>15.68147404983975</v>
      </c>
      <c r="Z32" s="191">
        <v>4.486245192022559</v>
      </c>
      <c r="AA32" s="187">
        <v>4.5824499999999997</v>
      </c>
      <c r="AB32" s="146">
        <f t="shared" si="3"/>
        <v>71.859570759688154</v>
      </c>
      <c r="AC32" s="146">
        <f t="shared" si="4"/>
        <v>20.557994280183774</v>
      </c>
      <c r="AD32" s="99" t="s">
        <v>36</v>
      </c>
      <c r="AE32" s="140" t="s">
        <v>53</v>
      </c>
      <c r="AF32" s="194">
        <v>4.169E-3</v>
      </c>
      <c r="AG32" s="140"/>
      <c r="AH32" s="146">
        <v>6.0891999999999999</v>
      </c>
      <c r="AI32" s="199">
        <v>8.0787138340351797E-2</v>
      </c>
      <c r="AJ32" s="199">
        <v>5.3437576784401402E-3</v>
      </c>
      <c r="AK32" s="140"/>
      <c r="AL32" s="27"/>
    </row>
    <row r="33" spans="2:38" ht="22" customHeight="1" x14ac:dyDescent="0.3">
      <c r="B33" s="122" t="s">
        <v>13</v>
      </c>
      <c r="C33" s="123"/>
      <c r="D33" s="9"/>
      <c r="E33" s="9"/>
      <c r="F33" s="9"/>
      <c r="G33" s="9">
        <v>-11.882</v>
      </c>
      <c r="H33" s="9"/>
      <c r="I33" s="9"/>
      <c r="J33" s="9"/>
      <c r="K33" s="10"/>
      <c r="Q33" s="171"/>
      <c r="X33" s="195"/>
      <c r="Y33" s="191">
        <v>14.930754772727907</v>
      </c>
      <c r="Z33" s="191">
        <v>3.4575299035161637</v>
      </c>
      <c r="AA33" s="187">
        <v>5.1851499999999948</v>
      </c>
      <c r="AB33" s="146">
        <f t="shared" si="3"/>
        <v>77.418203109810023</v>
      </c>
      <c r="AC33" s="146">
        <f t="shared" si="4"/>
        <v>17.927811179216818</v>
      </c>
      <c r="AD33" s="100">
        <f>AD31/(0.5*1.025*PI()*8.5^3*2^2)</f>
        <v>5.419302776402999E-2</v>
      </c>
      <c r="AE33" s="146">
        <f>AD38/AE29</f>
        <v>0.99879005401626586</v>
      </c>
      <c r="AF33" s="194">
        <v>4.5840000000000004E-3</v>
      </c>
      <c r="AG33" s="140"/>
      <c r="AH33" s="146">
        <v>6.6918999999999897</v>
      </c>
      <c r="AI33" s="199">
        <v>9.8357929761274901E-2</v>
      </c>
      <c r="AJ33" s="199">
        <v>5.6725851008654201E-3</v>
      </c>
      <c r="AK33" s="140"/>
      <c r="AL33" s="27"/>
    </row>
    <row r="34" spans="2:38" ht="15.5" customHeight="1" x14ac:dyDescent="0.3">
      <c r="B34" s="140"/>
      <c r="C34" s="140"/>
      <c r="D34" s="140"/>
      <c r="E34" s="140"/>
      <c r="F34" s="140"/>
      <c r="G34" s="140"/>
      <c r="H34" s="140"/>
      <c r="I34" s="140"/>
      <c r="J34" s="140"/>
      <c r="K34" s="140"/>
      <c r="O34" s="142"/>
      <c r="P34" s="172"/>
      <c r="X34" s="195"/>
      <c r="Y34" s="191">
        <v>15.078042115297837</v>
      </c>
      <c r="Z34" s="191">
        <v>2.9453393192377444</v>
      </c>
      <c r="AA34" s="187">
        <v>5.7878499999999953</v>
      </c>
      <c r="AB34" s="146">
        <f t="shared" si="3"/>
        <v>87.269446057026514</v>
      </c>
      <c r="AC34" s="146">
        <f t="shared" si="4"/>
        <v>17.047182178850164</v>
      </c>
      <c r="AD34" s="5"/>
      <c r="AE34" s="140"/>
      <c r="AF34" s="194">
        <v>4.2180000000000004E-3</v>
      </c>
      <c r="AG34" s="140"/>
      <c r="AH34" s="146">
        <v>7.2946</v>
      </c>
      <c r="AI34" s="199">
        <v>0.123856526431881</v>
      </c>
      <c r="AJ34" s="199">
        <v>6.3660893906931602E-3</v>
      </c>
      <c r="AK34" s="140"/>
      <c r="AL34" s="27"/>
    </row>
    <row r="35" spans="2:38" x14ac:dyDescent="0.3">
      <c r="B35" s="140"/>
      <c r="C35" s="140"/>
      <c r="D35" s="140"/>
      <c r="E35" s="140"/>
      <c r="F35" s="140" t="s">
        <v>57</v>
      </c>
      <c r="G35" s="140"/>
      <c r="H35" s="140"/>
      <c r="I35" s="140"/>
      <c r="J35" s="140"/>
      <c r="K35" s="140"/>
      <c r="O35" s="142"/>
      <c r="P35" s="146"/>
      <c r="Q35" s="146"/>
      <c r="R35" s="146"/>
      <c r="S35" s="173"/>
      <c r="T35" s="146"/>
      <c r="U35" s="146"/>
      <c r="V35" s="146"/>
      <c r="W35" s="115"/>
      <c r="X35" s="195"/>
      <c r="Y35" s="191">
        <v>16.368798290556491</v>
      </c>
      <c r="Z35" s="191">
        <v>2.8090955719832449</v>
      </c>
      <c r="AA35" s="187">
        <v>6.3905499999999948</v>
      </c>
      <c r="AB35" s="146">
        <f t="shared" si="3"/>
        <v>104.6056239157157</v>
      </c>
      <c r="AC35" s="146">
        <f t="shared" si="4"/>
        <v>17.951665707537511</v>
      </c>
      <c r="AD35" s="98" t="s">
        <v>10</v>
      </c>
      <c r="AE35" s="140"/>
      <c r="AF35" s="194">
        <v>5.2789999999999998E-3</v>
      </c>
      <c r="AG35" s="140"/>
      <c r="AH35" s="146">
        <v>7.8973000000000004</v>
      </c>
      <c r="AI35" s="199">
        <v>0.17604681968882699</v>
      </c>
      <c r="AJ35" s="199">
        <v>8.0159422394664795E-3</v>
      </c>
      <c r="AK35" s="140"/>
      <c r="AL35" s="27"/>
    </row>
    <row r="36" spans="2:38" ht="14.5" thickBot="1" x14ac:dyDescent="0.35">
      <c r="B36" s="140"/>
      <c r="C36" s="140"/>
      <c r="D36" s="140"/>
      <c r="E36" s="140"/>
      <c r="F36" s="140"/>
      <c r="G36" s="140"/>
      <c r="H36" s="140"/>
      <c r="I36" s="140"/>
      <c r="J36" s="140"/>
      <c r="K36" s="140"/>
      <c r="O36" s="152"/>
      <c r="P36" s="146"/>
      <c r="Q36" s="146"/>
      <c r="R36" s="146"/>
      <c r="S36" s="146"/>
      <c r="T36" s="146"/>
      <c r="U36" s="146"/>
      <c r="V36" s="146"/>
      <c r="W36" s="115"/>
      <c r="X36" s="195"/>
      <c r="Y36" s="191">
        <v>19.103410220581019</v>
      </c>
      <c r="Z36" s="191">
        <v>3.0020814795162334</v>
      </c>
      <c r="AA36" s="187">
        <v>6.9932499999999944</v>
      </c>
      <c r="AB36" s="146">
        <f t="shared" si="3"/>
        <v>133.59492352507809</v>
      </c>
      <c r="AC36" s="146">
        <f t="shared" si="4"/>
        <v>20.994306306626882</v>
      </c>
      <c r="AD36" s="22">
        <f>AVERAGE(AC29:AC38)</f>
        <v>21.434034559189065</v>
      </c>
      <c r="AE36" s="140"/>
      <c r="AF36" s="194">
        <v>5.2620000000000002E-3</v>
      </c>
      <c r="AG36" s="140"/>
      <c r="AH36" s="104">
        <v>8.5</v>
      </c>
      <c r="AI36" s="111">
        <v>0.47749999999999998</v>
      </c>
      <c r="AJ36" s="112">
        <v>1.3318999999999999E-2</v>
      </c>
      <c r="AK36" s="140"/>
      <c r="AL36" s="27"/>
    </row>
    <row r="37" spans="2:38" x14ac:dyDescent="0.3"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O37" s="152"/>
      <c r="P37" s="146"/>
      <c r="Q37" s="146"/>
      <c r="R37" s="146"/>
      <c r="S37" s="146"/>
      <c r="T37" s="146"/>
      <c r="U37" s="146"/>
      <c r="V37" s="146"/>
      <c r="W37" s="115"/>
      <c r="X37" s="195"/>
      <c r="Y37" s="191">
        <v>21.98643511242107</v>
      </c>
      <c r="Z37" s="191">
        <v>3.413924131711652</v>
      </c>
      <c r="AA37" s="187">
        <v>7.5959500000000002</v>
      </c>
      <c r="AB37" s="146">
        <f t="shared" si="3"/>
        <v>167.00786179219483</v>
      </c>
      <c r="AC37" s="146">
        <f t="shared" si="4"/>
        <v>25.931997008275122</v>
      </c>
      <c r="AD37" s="98" t="s">
        <v>39</v>
      </c>
      <c r="AE37" s="140"/>
      <c r="AF37" s="194">
        <v>4.9699999999999996E-3</v>
      </c>
      <c r="AG37" s="140"/>
      <c r="AH37" s="140"/>
      <c r="AI37" s="140"/>
      <c r="AJ37" s="140"/>
      <c r="AK37" s="140"/>
      <c r="AL37" s="27"/>
    </row>
    <row r="38" spans="2:38" x14ac:dyDescent="0.3">
      <c r="B38" s="140"/>
      <c r="C38" s="140"/>
      <c r="D38" s="140"/>
      <c r="E38" s="140"/>
      <c r="F38" s="140"/>
      <c r="G38" s="140"/>
      <c r="H38" s="140"/>
      <c r="I38" s="140"/>
      <c r="J38" s="140"/>
      <c r="K38" s="140"/>
      <c r="O38" s="152"/>
      <c r="P38" s="146"/>
      <c r="Q38" s="146"/>
      <c r="R38" s="146"/>
      <c r="S38" s="146"/>
      <c r="T38" s="146"/>
      <c r="U38" s="146"/>
      <c r="V38" s="146"/>
      <c r="W38" s="115"/>
      <c r="X38" s="200"/>
      <c r="Y38" s="108">
        <v>25.837423481873962</v>
      </c>
      <c r="Z38" s="105">
        <f>4.06136323958196-0.5</f>
        <v>3.5613632395819597</v>
      </c>
      <c r="AA38" s="86">
        <v>8.1986500000000007</v>
      </c>
      <c r="AB38" s="19">
        <f t="shared" si="3"/>
        <v>211.83199202966597</v>
      </c>
      <c r="AC38" s="19">
        <f>Z38*AA38</f>
        <v>29.198370724198636</v>
      </c>
      <c r="AD38" s="23">
        <f>SUM(AC29:AC38)</f>
        <v>214.34034559189064</v>
      </c>
      <c r="AE38" s="140"/>
      <c r="AF38" s="194">
        <v>4.9529999999999999E-3</v>
      </c>
      <c r="AG38" s="140"/>
      <c r="AH38" s="140"/>
      <c r="AI38" s="140"/>
      <c r="AJ38" s="140"/>
      <c r="AK38" s="140"/>
      <c r="AL38" s="27"/>
    </row>
    <row r="39" spans="2:38" ht="14.5" thickBot="1" x14ac:dyDescent="0.35">
      <c r="B39" s="140"/>
      <c r="C39" s="140"/>
      <c r="D39" s="140"/>
      <c r="E39" s="140"/>
      <c r="F39" s="140"/>
      <c r="G39" s="140"/>
      <c r="H39" s="140"/>
      <c r="I39" s="140"/>
      <c r="J39" s="140"/>
      <c r="K39" s="140"/>
      <c r="O39" s="152"/>
      <c r="P39" s="146"/>
      <c r="Q39" s="146"/>
      <c r="R39" s="146"/>
      <c r="S39" s="146"/>
      <c r="T39" s="146"/>
      <c r="U39" s="146"/>
      <c r="V39" s="146"/>
      <c r="W39" s="115"/>
      <c r="X39" s="26"/>
      <c r="Y39" s="140"/>
      <c r="Z39" s="140"/>
      <c r="AA39" s="140"/>
      <c r="AB39" s="140"/>
      <c r="AC39" s="140"/>
      <c r="AD39" s="140"/>
      <c r="AE39" s="140"/>
      <c r="AF39" s="109">
        <v>4.6499999999999996E-3</v>
      </c>
      <c r="AG39" s="140"/>
      <c r="AH39" s="140"/>
      <c r="AI39" s="140"/>
      <c r="AJ39" s="140"/>
      <c r="AK39" s="140"/>
      <c r="AL39" s="27"/>
    </row>
    <row r="40" spans="2:38" x14ac:dyDescent="0.3">
      <c r="B40" s="140"/>
      <c r="C40" s="140"/>
      <c r="D40" s="140"/>
      <c r="E40" s="140"/>
      <c r="F40" s="140"/>
      <c r="G40" s="140"/>
      <c r="H40" s="140"/>
      <c r="I40" s="140"/>
      <c r="J40" s="140"/>
      <c r="K40" s="140"/>
      <c r="L40" s="2"/>
      <c r="O40" s="154"/>
      <c r="P40" s="146"/>
      <c r="Q40" s="146"/>
      <c r="R40" s="146"/>
      <c r="S40" s="146"/>
      <c r="T40" s="146"/>
      <c r="U40" s="146"/>
      <c r="V40" s="146"/>
      <c r="W40" s="115"/>
      <c r="X40" s="26" t="s">
        <v>40</v>
      </c>
      <c r="Y40" s="140"/>
      <c r="Z40" s="140"/>
      <c r="AA40" s="140"/>
      <c r="AB40" s="140"/>
      <c r="AC40" s="140"/>
      <c r="AD40" s="140"/>
      <c r="AE40" s="140"/>
      <c r="AF40" s="140"/>
      <c r="AG40" s="140"/>
      <c r="AH40" s="140"/>
      <c r="AI40" s="140"/>
      <c r="AJ40" s="140"/>
      <c r="AK40" s="140"/>
      <c r="AL40" s="27"/>
    </row>
    <row r="41" spans="2:38" x14ac:dyDescent="0.3">
      <c r="B41" s="140"/>
      <c r="C41" s="140"/>
      <c r="D41" s="140"/>
      <c r="E41" s="140"/>
      <c r="F41" s="140"/>
      <c r="G41" s="140"/>
      <c r="H41" s="140"/>
      <c r="I41" s="140"/>
      <c r="J41" s="140"/>
      <c r="K41" s="140"/>
      <c r="O41" s="152"/>
      <c r="P41" s="146"/>
      <c r="Q41" s="146"/>
      <c r="R41" s="146"/>
      <c r="S41" s="146"/>
      <c r="T41" s="146"/>
      <c r="U41" s="146"/>
      <c r="V41" s="146"/>
      <c r="W41" s="115"/>
      <c r="X41" s="201"/>
      <c r="Y41" s="97" t="s">
        <v>32</v>
      </c>
      <c r="Z41" s="97" t="s">
        <v>37</v>
      </c>
      <c r="AA41" s="1"/>
      <c r="AB41" s="1"/>
      <c r="AC41" s="1"/>
      <c r="AD41" s="3"/>
      <c r="AE41" s="140"/>
      <c r="AF41" s="140"/>
      <c r="AG41" s="140"/>
      <c r="AH41" s="140"/>
      <c r="AI41" s="140"/>
      <c r="AJ41" s="140"/>
      <c r="AK41" s="140"/>
      <c r="AL41" s="27"/>
    </row>
    <row r="42" spans="2:38" x14ac:dyDescent="0.3">
      <c r="B42" s="140"/>
      <c r="C42" s="140"/>
      <c r="D42" s="140"/>
      <c r="E42" s="140"/>
      <c r="F42" s="140"/>
      <c r="G42" s="140"/>
      <c r="H42" s="140"/>
      <c r="I42" s="140"/>
      <c r="J42" s="140"/>
      <c r="K42" s="140"/>
      <c r="O42" s="152"/>
      <c r="P42" s="146"/>
      <c r="Q42" s="146"/>
      <c r="R42" s="146"/>
      <c r="S42" s="146"/>
      <c r="T42" s="146"/>
      <c r="U42" s="146"/>
      <c r="V42" s="146"/>
      <c r="W42" s="115"/>
      <c r="X42" s="26"/>
      <c r="Y42" s="175">
        <v>300</v>
      </c>
      <c r="Z42" s="202">
        <f>Y42/1.26</f>
        <v>238.0952380952381</v>
      </c>
      <c r="AA42" s="140"/>
      <c r="AB42" s="140"/>
      <c r="AC42" s="140"/>
      <c r="AD42" s="5"/>
      <c r="AE42" s="140"/>
      <c r="AF42" s="140"/>
      <c r="AG42" s="140"/>
      <c r="AH42" s="140"/>
      <c r="AI42" s="140"/>
      <c r="AJ42" s="140"/>
      <c r="AK42" s="140"/>
      <c r="AL42" s="27"/>
    </row>
    <row r="43" spans="2:38" x14ac:dyDescent="0.3">
      <c r="B43" s="140"/>
      <c r="C43" s="140"/>
      <c r="D43" s="140"/>
      <c r="E43" s="140"/>
      <c r="F43" s="140"/>
      <c r="G43" s="140"/>
      <c r="H43" s="140"/>
      <c r="I43" s="140"/>
      <c r="J43" s="140"/>
      <c r="K43" s="140"/>
      <c r="O43" s="152"/>
      <c r="P43" s="146"/>
      <c r="Q43" s="146"/>
      <c r="R43" s="146"/>
      <c r="S43" s="146"/>
      <c r="T43" s="146"/>
      <c r="U43" s="146"/>
      <c r="V43" s="146"/>
      <c r="W43" s="115"/>
      <c r="X43" s="26"/>
      <c r="Y43" s="140"/>
      <c r="Z43" s="203" t="s">
        <v>33</v>
      </c>
      <c r="AA43" s="204" t="s">
        <v>35</v>
      </c>
      <c r="AB43" s="204" t="s">
        <v>31</v>
      </c>
      <c r="AC43" s="140"/>
      <c r="AD43" s="5"/>
      <c r="AE43" s="140"/>
      <c r="AF43" s="140"/>
      <c r="AG43" s="140"/>
      <c r="AH43" s="140"/>
      <c r="AI43" s="140"/>
      <c r="AJ43" s="140"/>
      <c r="AK43" s="140"/>
      <c r="AL43" s="27"/>
    </row>
    <row r="44" spans="2:38" x14ac:dyDescent="0.3">
      <c r="B44" s="140"/>
      <c r="C44" s="140"/>
      <c r="D44" s="140"/>
      <c r="E44" s="140"/>
      <c r="F44" s="140"/>
      <c r="G44" s="140"/>
      <c r="H44" s="140"/>
      <c r="I44" s="140"/>
      <c r="J44" s="140"/>
      <c r="K44" s="140"/>
      <c r="O44" s="152"/>
      <c r="P44" s="146"/>
      <c r="Q44" s="146"/>
      <c r="R44" s="146"/>
      <c r="S44" s="146"/>
      <c r="T44" s="146"/>
      <c r="U44" s="146"/>
      <c r="V44" s="146"/>
      <c r="W44" s="115"/>
      <c r="X44" s="141"/>
      <c r="Y44" s="2"/>
      <c r="Z44" s="83">
        <f>300*0.12</f>
        <v>36</v>
      </c>
      <c r="AA44" s="83">
        <f>Z44/1.26</f>
        <v>28.571428571428573</v>
      </c>
      <c r="AB44" s="86">
        <f>AA44/1.26^2</f>
        <v>17.996616636072417</v>
      </c>
      <c r="AC44" s="2"/>
      <c r="AD44" s="6"/>
      <c r="AE44" s="140"/>
      <c r="AF44" s="140"/>
      <c r="AG44" s="140"/>
      <c r="AH44" s="140"/>
      <c r="AI44" s="140"/>
      <c r="AJ44" s="140"/>
      <c r="AK44" s="140"/>
      <c r="AL44" s="27"/>
    </row>
    <row r="45" spans="2:38" x14ac:dyDescent="0.3">
      <c r="B45" s="140"/>
      <c r="C45" s="140"/>
      <c r="D45" s="140"/>
      <c r="E45" s="140"/>
      <c r="F45" s="140"/>
      <c r="G45" s="140"/>
      <c r="H45" s="4" t="s">
        <v>15</v>
      </c>
      <c r="I45" s="140"/>
      <c r="J45" s="140" t="s">
        <v>16</v>
      </c>
      <c r="K45" s="140"/>
      <c r="O45" s="152"/>
      <c r="P45" s="146"/>
      <c r="Q45" s="146"/>
      <c r="R45" s="146"/>
      <c r="S45" s="146"/>
      <c r="T45" s="146"/>
      <c r="U45" s="146"/>
      <c r="V45" s="146"/>
      <c r="W45" s="115"/>
      <c r="X45" s="26"/>
      <c r="Y45" s="140"/>
      <c r="Z45" s="140"/>
      <c r="AA45" s="140"/>
      <c r="AB45" s="140"/>
      <c r="AC45" s="140"/>
      <c r="AD45" s="140"/>
      <c r="AE45" s="140"/>
      <c r="AF45" s="140"/>
      <c r="AG45" s="140"/>
      <c r="AH45" s="140"/>
      <c r="AI45" s="140"/>
      <c r="AJ45" s="140"/>
      <c r="AK45" s="140"/>
      <c r="AL45" s="27"/>
    </row>
    <row r="46" spans="2:38" x14ac:dyDescent="0.3">
      <c r="B46" s="140"/>
      <c r="C46" s="140"/>
      <c r="D46" s="140"/>
      <c r="E46" s="140"/>
      <c r="F46" s="140"/>
      <c r="G46" s="140"/>
      <c r="H46" s="4" t="s">
        <v>17</v>
      </c>
      <c r="I46" s="140"/>
      <c r="J46" s="140" t="s">
        <v>18</v>
      </c>
      <c r="K46" s="140"/>
      <c r="O46" s="152"/>
      <c r="P46" s="146"/>
      <c r="Q46" s="146"/>
      <c r="R46" s="146"/>
      <c r="S46" s="146"/>
      <c r="T46" s="146"/>
      <c r="U46" s="146"/>
      <c r="V46" s="146"/>
      <c r="W46" s="115"/>
      <c r="X46" s="26"/>
      <c r="Y46" s="140"/>
      <c r="Z46" s="140"/>
      <c r="AA46" s="140"/>
      <c r="AB46" s="140"/>
      <c r="AC46" s="140"/>
      <c r="AD46" s="140"/>
      <c r="AE46" s="140"/>
      <c r="AF46" s="140"/>
      <c r="AG46" s="140"/>
      <c r="AH46" s="140"/>
      <c r="AI46" s="140"/>
      <c r="AJ46" s="140"/>
      <c r="AK46" s="140"/>
      <c r="AL46" s="27"/>
    </row>
    <row r="47" spans="2:38" x14ac:dyDescent="0.3">
      <c r="B47" s="140"/>
      <c r="C47" s="140"/>
      <c r="D47" s="140"/>
      <c r="E47" s="140"/>
      <c r="F47" s="140"/>
      <c r="G47" s="140"/>
      <c r="H47" s="7" t="s">
        <v>19</v>
      </c>
      <c r="I47" s="2"/>
      <c r="J47" s="94">
        <v>6.0299999999999999E-2</v>
      </c>
      <c r="K47" s="140"/>
      <c r="X47" s="26"/>
      <c r="Y47" s="140"/>
      <c r="Z47" s="140"/>
      <c r="AA47" s="140"/>
      <c r="AB47" s="140"/>
      <c r="AC47" s="140"/>
      <c r="AD47" s="140"/>
      <c r="AE47" s="140"/>
      <c r="AF47" s="140"/>
      <c r="AG47" s="140"/>
      <c r="AH47" s="140"/>
      <c r="AI47" s="140"/>
      <c r="AJ47" s="140"/>
      <c r="AK47" s="140"/>
      <c r="AL47" s="27"/>
    </row>
    <row r="48" spans="2:38" x14ac:dyDescent="0.3">
      <c r="B48" s="140"/>
      <c r="C48" s="140"/>
      <c r="D48" s="140"/>
      <c r="E48" s="140"/>
      <c r="F48" s="140"/>
      <c r="G48" s="140"/>
      <c r="H48" s="140"/>
      <c r="I48" s="140"/>
      <c r="J48" s="140"/>
      <c r="K48" s="140"/>
      <c r="X48" s="26"/>
      <c r="Y48" s="140"/>
      <c r="Z48" s="140"/>
      <c r="AA48" s="140"/>
      <c r="AB48" s="140"/>
      <c r="AC48" s="140"/>
      <c r="AD48" s="140"/>
      <c r="AE48" s="140"/>
      <c r="AF48" s="140"/>
      <c r="AG48" s="140"/>
      <c r="AH48" s="140"/>
      <c r="AI48" s="140"/>
      <c r="AJ48" s="140"/>
      <c r="AK48" s="140"/>
      <c r="AL48" s="27"/>
    </row>
    <row r="49" spans="1:38" x14ac:dyDescent="0.3">
      <c r="B49" s="140"/>
      <c r="C49" s="140"/>
      <c r="D49" s="140"/>
      <c r="E49" s="140"/>
      <c r="F49" s="140"/>
      <c r="G49" s="140"/>
      <c r="H49" s="140"/>
      <c r="I49" s="140"/>
      <c r="J49" s="140"/>
      <c r="K49" s="140"/>
      <c r="X49" s="26"/>
      <c r="Y49" s="140"/>
      <c r="Z49" s="140"/>
      <c r="AA49" s="140"/>
      <c r="AB49" s="140"/>
      <c r="AC49" s="140"/>
      <c r="AD49" s="140"/>
      <c r="AE49" s="140"/>
      <c r="AF49" s="140"/>
      <c r="AG49" s="140"/>
      <c r="AH49" s="140"/>
      <c r="AI49" s="140"/>
      <c r="AJ49" s="140"/>
      <c r="AK49" s="140"/>
      <c r="AL49" s="27"/>
    </row>
    <row r="50" spans="1:38" x14ac:dyDescent="0.3">
      <c r="B50" s="140"/>
      <c r="C50" s="140"/>
      <c r="D50" s="140"/>
      <c r="E50" s="140"/>
      <c r="F50" s="140"/>
      <c r="G50" s="140"/>
      <c r="H50" s="140"/>
      <c r="I50" s="140"/>
      <c r="J50" s="140"/>
      <c r="K50" s="140"/>
      <c r="X50" s="26"/>
      <c r="Y50" s="140"/>
      <c r="Z50" s="140"/>
      <c r="AA50" s="140"/>
      <c r="AB50" s="140"/>
      <c r="AC50" s="140"/>
      <c r="AD50" s="140"/>
      <c r="AE50" s="140"/>
      <c r="AF50" s="140"/>
      <c r="AG50" s="140"/>
      <c r="AH50" s="140"/>
      <c r="AI50" s="140"/>
      <c r="AJ50" s="140"/>
      <c r="AK50" s="140"/>
      <c r="AL50" s="27"/>
    </row>
    <row r="51" spans="1:38" ht="14.5" thickBot="1" x14ac:dyDescent="0.35">
      <c r="A51" s="180"/>
      <c r="B51" s="181"/>
      <c r="C51" s="181"/>
      <c r="D51" s="181"/>
      <c r="E51" s="181"/>
      <c r="F51" s="181"/>
      <c r="G51" s="181"/>
      <c r="H51" s="181"/>
      <c r="I51" s="181"/>
      <c r="J51" s="181"/>
      <c r="K51" s="181"/>
      <c r="L51" s="181"/>
      <c r="M51" s="180"/>
      <c r="N51" s="181"/>
      <c r="O51" s="181"/>
      <c r="P51" s="181"/>
      <c r="Q51" s="181"/>
      <c r="R51" s="181"/>
      <c r="S51" s="181"/>
      <c r="T51" s="181"/>
      <c r="U51" s="181"/>
      <c r="V51" s="181"/>
      <c r="W51" s="182"/>
      <c r="X51" s="180"/>
      <c r="Y51" s="181"/>
      <c r="Z51" s="181"/>
      <c r="AA51" s="181"/>
      <c r="AB51" s="181"/>
      <c r="AC51" s="181"/>
      <c r="AD51" s="181"/>
      <c r="AE51" s="181"/>
      <c r="AF51" s="181"/>
      <c r="AG51" s="181"/>
      <c r="AH51" s="181"/>
      <c r="AI51" s="181"/>
      <c r="AJ51" s="181"/>
      <c r="AK51" s="181"/>
      <c r="AL51" s="182"/>
    </row>
  </sheetData>
  <mergeCells count="11">
    <mergeCell ref="B1:K1"/>
    <mergeCell ref="X4:X14"/>
    <mergeCell ref="B33:C33"/>
    <mergeCell ref="B9:C10"/>
    <mergeCell ref="B2:J2"/>
    <mergeCell ref="M9:N10"/>
    <mergeCell ref="M4:O5"/>
    <mergeCell ref="B4:D5"/>
    <mergeCell ref="X17:X27"/>
    <mergeCell ref="X28:X38"/>
    <mergeCell ref="O34:O35"/>
  </mergeCell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CE30D9-881B-4C76-BF5B-8D80888424DB}">
  <dimension ref="B2:AI51"/>
  <sheetViews>
    <sheetView topLeftCell="M1" zoomScale="85" zoomScaleNormal="85" workbookViewId="0">
      <selection activeCell="Z10" sqref="Z10"/>
    </sheetView>
  </sheetViews>
  <sheetFormatPr defaultRowHeight="14" x14ac:dyDescent="0.3"/>
  <cols>
    <col min="11" max="11" width="11" bestFit="1" customWidth="1"/>
    <col min="22" max="22" width="11.08203125" customWidth="1"/>
    <col min="25" max="25" width="10.08203125" bestFit="1" customWidth="1"/>
  </cols>
  <sheetData>
    <row r="2" spans="2:35" x14ac:dyDescent="0.3">
      <c r="D2" s="25" t="s">
        <v>20</v>
      </c>
    </row>
    <row r="4" spans="2:35" x14ac:dyDescent="0.3">
      <c r="B4" s="46" t="s">
        <v>12</v>
      </c>
      <c r="C4" s="1"/>
      <c r="D4" s="1" t="s">
        <v>2</v>
      </c>
      <c r="E4" s="1"/>
      <c r="F4" s="1"/>
      <c r="G4" s="1"/>
      <c r="H4" s="1"/>
      <c r="I4" s="1"/>
      <c r="J4" s="1"/>
      <c r="K4" s="45" t="s">
        <v>21</v>
      </c>
      <c r="M4" s="46" t="s">
        <v>12</v>
      </c>
      <c r="N4" s="1"/>
      <c r="O4" s="1" t="s">
        <v>2</v>
      </c>
      <c r="P4" s="1"/>
      <c r="Q4" s="1"/>
      <c r="R4" s="1"/>
      <c r="S4" s="1"/>
      <c r="T4" s="1"/>
      <c r="U4" s="1"/>
      <c r="V4" s="137" t="s">
        <v>22</v>
      </c>
      <c r="X4" s="137" t="s">
        <v>23</v>
      </c>
      <c r="Y4" s="137" t="s">
        <v>24</v>
      </c>
    </row>
    <row r="5" spans="2:35" x14ac:dyDescent="0.3">
      <c r="B5" s="4"/>
      <c r="D5" s="57">
        <v>0.8</v>
      </c>
      <c r="E5" s="58">
        <v>0.81699999999999995</v>
      </c>
      <c r="F5" s="58">
        <v>1.0549999999999999</v>
      </c>
      <c r="G5" s="58">
        <v>1.0669999999999999</v>
      </c>
      <c r="H5" s="58">
        <v>1.1000000000000001</v>
      </c>
      <c r="I5" s="58">
        <v>1.26</v>
      </c>
      <c r="J5" s="59">
        <v>1.4</v>
      </c>
      <c r="K5" s="5"/>
      <c r="M5" s="4"/>
      <c r="O5" s="44">
        <v>0.8</v>
      </c>
      <c r="P5" s="44">
        <v>0.81699999999999995</v>
      </c>
      <c r="Q5" s="44">
        <v>1.0549999999999999</v>
      </c>
      <c r="R5" s="44">
        <v>1.0669999999999999</v>
      </c>
      <c r="S5" s="44">
        <v>1.1000000000000001</v>
      </c>
      <c r="T5" s="44">
        <v>1.26</v>
      </c>
      <c r="U5" s="44">
        <v>1.4</v>
      </c>
      <c r="V5" s="138"/>
      <c r="W5" s="24" t="s">
        <v>25</v>
      </c>
      <c r="X5" s="138"/>
      <c r="Y5" s="138"/>
    </row>
    <row r="6" spans="2:35" x14ac:dyDescent="0.3">
      <c r="B6" s="4" t="s">
        <v>3</v>
      </c>
      <c r="C6" s="28">
        <v>0.4</v>
      </c>
      <c r="D6" s="60">
        <v>-60.976303237543604</v>
      </c>
      <c r="E6" s="47">
        <v>-41.951207424731905</v>
      </c>
      <c r="F6" s="47">
        <v>-92.011127278555605</v>
      </c>
      <c r="G6" s="47">
        <v>-94.844657747581707</v>
      </c>
      <c r="H6" s="47">
        <v>-102.68576203132801</v>
      </c>
      <c r="I6" s="47">
        <v>-143.15806755071299</v>
      </c>
      <c r="J6" s="61">
        <v>-182.05602833864401</v>
      </c>
      <c r="K6" s="49">
        <v>1.2499501949606699</v>
      </c>
      <c r="M6" s="4" t="s">
        <v>3</v>
      </c>
      <c r="N6" s="28">
        <v>0.4</v>
      </c>
      <c r="O6" s="66">
        <f t="shared" ref="O6:U23" si="0">O$26+$V6</f>
        <v>-44.041106584519625</v>
      </c>
      <c r="P6" s="67">
        <f t="shared" si="0"/>
        <v>-46.195877957968229</v>
      </c>
      <c r="Q6" s="67">
        <f t="shared" si="0"/>
        <v>-78.664030282173513</v>
      </c>
      <c r="R6" s="67">
        <f t="shared" si="0"/>
        <v>-80.465418567096307</v>
      </c>
      <c r="S6" s="67">
        <f t="shared" si="0"/>
        <v>-85.434558251954613</v>
      </c>
      <c r="T6" s="67">
        <f t="shared" si="0"/>
        <v>-112.80403703427231</v>
      </c>
      <c r="U6" s="68">
        <f t="shared" si="0"/>
        <v>-139.63051545200361</v>
      </c>
      <c r="V6" s="55">
        <f>$X6*$W$14</f>
        <v>3.1248754874016749</v>
      </c>
      <c r="W6">
        <v>1.3</v>
      </c>
      <c r="X6" s="49">
        <v>1.2499501949606699</v>
      </c>
      <c r="Y6" s="55">
        <f>$X6*$W$6</f>
        <v>1.624935253448871</v>
      </c>
      <c r="Z6" s="55">
        <f>$X6*$W$7</f>
        <v>1.7499302729449377</v>
      </c>
      <c r="AA6" s="55">
        <f>$X6*$W$8</f>
        <v>1.8749252924410049</v>
      </c>
      <c r="AB6" s="55">
        <f>$X6*$W$9</f>
        <v>1.9999203119370721</v>
      </c>
      <c r="AC6" s="55">
        <f>$X6*$W$10</f>
        <v>2.1249153314331388</v>
      </c>
      <c r="AD6" s="55">
        <f>$X6*$W$11</f>
        <v>2.249910350929206</v>
      </c>
      <c r="AE6" s="55">
        <f>$X6*$W$12</f>
        <v>2.3749053704252727</v>
      </c>
      <c r="AF6" s="55">
        <f>$X6*$W$13</f>
        <v>2.4999003899213399</v>
      </c>
      <c r="AG6" s="55">
        <f>$X6*$W$14</f>
        <v>3.1248754874016749</v>
      </c>
    </row>
    <row r="7" spans="2:35" x14ac:dyDescent="0.3">
      <c r="B7" s="4"/>
      <c r="C7" s="28">
        <v>0.6</v>
      </c>
      <c r="D7" s="62">
        <v>-53.706294282357497</v>
      </c>
      <c r="E7" s="50">
        <v>-56.725000000000001</v>
      </c>
      <c r="F7" s="50">
        <v>-104.134122242945</v>
      </c>
      <c r="G7" s="50">
        <v>-106.806140930533</v>
      </c>
      <c r="H7" s="50">
        <v>-114.29538564886199</v>
      </c>
      <c r="I7" s="50">
        <v>-154.24282762413398</v>
      </c>
      <c r="J7" s="63">
        <v>-191.209497196749</v>
      </c>
      <c r="K7" s="49">
        <v>2.8133517184500203</v>
      </c>
      <c r="M7" s="4"/>
      <c r="N7" s="28">
        <v>0.6</v>
      </c>
      <c r="O7" s="62">
        <f t="shared" si="0"/>
        <v>-40.132602775796251</v>
      </c>
      <c r="P7" s="50">
        <f t="shared" si="0"/>
        <v>-42.287374149244854</v>
      </c>
      <c r="Q7" s="50">
        <f t="shared" si="0"/>
        <v>-74.755526473450146</v>
      </c>
      <c r="R7" s="50">
        <f t="shared" si="0"/>
        <v>-76.55691475837294</v>
      </c>
      <c r="S7" s="50">
        <f t="shared" si="0"/>
        <v>-81.526054443231246</v>
      </c>
      <c r="T7" s="50">
        <f t="shared" si="0"/>
        <v>-108.89553322554895</v>
      </c>
      <c r="U7" s="63">
        <f t="shared" si="0"/>
        <v>-135.72201164328024</v>
      </c>
      <c r="V7" s="55">
        <f t="shared" ref="V7:V25" si="1">$X7*$W$14</f>
        <v>7.0333792961250508</v>
      </c>
      <c r="W7">
        <v>1.4</v>
      </c>
      <c r="X7" s="49">
        <v>2.8133517184500203</v>
      </c>
      <c r="Y7" s="55">
        <f>$X7*$W$6</f>
        <v>3.6573572339850267</v>
      </c>
      <c r="Z7" s="55">
        <f t="shared" ref="Z7:Z25" si="2">$X7*$W$7</f>
        <v>3.9386924058300283</v>
      </c>
      <c r="AA7" s="55">
        <f t="shared" ref="AA7:AA25" si="3">$X7*$W$8</f>
        <v>4.2200275776750305</v>
      </c>
      <c r="AB7" s="55">
        <f t="shared" ref="AB7:AB25" si="4">$X7*$W$9</f>
        <v>4.501362749520033</v>
      </c>
      <c r="AC7" s="55">
        <f t="shared" ref="AC7:AC25" si="5">$X7*$W$10</f>
        <v>4.7826979213650347</v>
      </c>
      <c r="AD7" s="55">
        <f t="shared" ref="AD7:AD25" si="6">$X7*$W$11</f>
        <v>5.0640330932100364</v>
      </c>
      <c r="AE7" s="55">
        <f t="shared" ref="AE7:AE25" si="7">$X7*$W$12</f>
        <v>5.345368265055038</v>
      </c>
      <c r="AF7" s="55">
        <f t="shared" ref="AF7:AF25" si="8">$X7*$W$13</f>
        <v>5.6267034369000406</v>
      </c>
      <c r="AG7" s="55">
        <f t="shared" ref="AG7:AG25" si="9">$X7*$W$14</f>
        <v>7.0333792961250508</v>
      </c>
    </row>
    <row r="8" spans="2:35" x14ac:dyDescent="0.3">
      <c r="B8" s="4"/>
      <c r="C8" s="28">
        <v>0.75600000000000001</v>
      </c>
      <c r="D8" s="62">
        <v>-42.247476161253999</v>
      </c>
      <c r="E8" s="50">
        <v>-45.3761169386445</v>
      </c>
      <c r="F8" s="50">
        <v>-95.075677926794597</v>
      </c>
      <c r="G8" s="50">
        <v>-97.853043807183198</v>
      </c>
      <c r="H8" s="50">
        <v>-105.60483552327101</v>
      </c>
      <c r="I8" s="50">
        <v>-145.53</v>
      </c>
      <c r="J8" s="63">
        <v>-184.441642017173</v>
      </c>
      <c r="K8" s="49">
        <v>4.5147346124925996</v>
      </c>
      <c r="M8" s="4"/>
      <c r="N8" s="28">
        <v>0.75600000000000001</v>
      </c>
      <c r="O8" s="62">
        <f t="shared" si="0"/>
        <v>-35.879145540689798</v>
      </c>
      <c r="P8" s="50">
        <f t="shared" si="0"/>
        <v>-38.033916914138402</v>
      </c>
      <c r="Q8" s="50">
        <f t="shared" si="0"/>
        <v>-70.502069238343694</v>
      </c>
      <c r="R8" s="50">
        <f t="shared" si="0"/>
        <v>-72.303457523266488</v>
      </c>
      <c r="S8" s="50">
        <f t="shared" si="0"/>
        <v>-77.272597208124793</v>
      </c>
      <c r="T8" s="50">
        <f t="shared" si="0"/>
        <v>-104.64207599044249</v>
      </c>
      <c r="U8" s="63">
        <f t="shared" si="0"/>
        <v>-131.46855440817379</v>
      </c>
      <c r="V8" s="55">
        <f t="shared" si="1"/>
        <v>11.286836531231499</v>
      </c>
      <c r="W8">
        <v>1.5</v>
      </c>
      <c r="X8" s="49">
        <v>4.5147346124925996</v>
      </c>
      <c r="Y8" s="55">
        <f>$X8*$W$6</f>
        <v>5.86915499624038</v>
      </c>
      <c r="Z8" s="55">
        <f t="shared" si="2"/>
        <v>6.3206284574896392</v>
      </c>
      <c r="AA8" s="55">
        <f t="shared" si="3"/>
        <v>6.7721019187388993</v>
      </c>
      <c r="AB8" s="55">
        <f t="shared" si="4"/>
        <v>7.2235753799881595</v>
      </c>
      <c r="AC8" s="55">
        <f t="shared" si="5"/>
        <v>7.6750488412374187</v>
      </c>
      <c r="AD8" s="55">
        <f t="shared" si="6"/>
        <v>8.1265223024866788</v>
      </c>
      <c r="AE8" s="55">
        <f t="shared" si="7"/>
        <v>8.5779957637359381</v>
      </c>
      <c r="AF8" s="55">
        <f t="shared" si="8"/>
        <v>9.0294692249851991</v>
      </c>
      <c r="AG8" s="55">
        <f t="shared" si="9"/>
        <v>11.286836531231499</v>
      </c>
    </row>
    <row r="9" spans="2:35" x14ac:dyDescent="0.3">
      <c r="B9" s="4"/>
      <c r="C9" s="28">
        <v>0.8</v>
      </c>
      <c r="D9" s="62">
        <v>-38.788013890599196</v>
      </c>
      <c r="E9" s="50">
        <v>-41.951207424731905</v>
      </c>
      <c r="F9" s="50">
        <v>-92.011127278555605</v>
      </c>
      <c r="G9" s="50">
        <v>-94.844999999999999</v>
      </c>
      <c r="H9" s="50">
        <v>-102.68576203132801</v>
      </c>
      <c r="I9" s="50">
        <v>-143.15806755071299</v>
      </c>
      <c r="J9" s="63">
        <v>-182.05602833864401</v>
      </c>
      <c r="K9" s="49">
        <v>5.0026295278839301</v>
      </c>
      <c r="M9" s="4"/>
      <c r="N9" s="28">
        <v>0.8</v>
      </c>
      <c r="O9" s="62">
        <f t="shared" si="0"/>
        <v>-34.659408252211477</v>
      </c>
      <c r="P9" s="50">
        <f t="shared" si="0"/>
        <v>-36.814179625660074</v>
      </c>
      <c r="Q9" s="50">
        <f t="shared" si="0"/>
        <v>-69.282331949865366</v>
      </c>
      <c r="R9" s="50">
        <f t="shared" si="0"/>
        <v>-71.08372023478816</v>
      </c>
      <c r="S9" s="50">
        <f t="shared" si="0"/>
        <v>-76.052859919646465</v>
      </c>
      <c r="T9" s="50">
        <f t="shared" si="0"/>
        <v>-103.42233870196416</v>
      </c>
      <c r="U9" s="63">
        <f t="shared" si="0"/>
        <v>-130.24881711969547</v>
      </c>
      <c r="V9" s="55">
        <f t="shared" si="1"/>
        <v>12.506573819709825</v>
      </c>
      <c r="W9">
        <v>1.6</v>
      </c>
      <c r="X9" s="49">
        <v>5.0026295278839301</v>
      </c>
      <c r="Y9" s="55">
        <f>$X9*$W$6</f>
        <v>6.5034183862491091</v>
      </c>
      <c r="Z9" s="55">
        <f>$X9*$W$7</f>
        <v>7.0036813390375015</v>
      </c>
      <c r="AA9" s="55">
        <f t="shared" si="3"/>
        <v>7.5039442918258956</v>
      </c>
      <c r="AB9" s="55">
        <f t="shared" si="4"/>
        <v>8.0042072446142889</v>
      </c>
      <c r="AC9" s="55">
        <f t="shared" si="5"/>
        <v>8.5044701974026804</v>
      </c>
      <c r="AD9" s="55">
        <f t="shared" si="6"/>
        <v>9.0047331501910737</v>
      </c>
      <c r="AE9" s="55">
        <f t="shared" si="7"/>
        <v>9.504996102979467</v>
      </c>
      <c r="AF9" s="55">
        <f t="shared" si="8"/>
        <v>10.00525905576786</v>
      </c>
      <c r="AG9" s="55">
        <f t="shared" si="9"/>
        <v>12.506573819709825</v>
      </c>
    </row>
    <row r="10" spans="2:35" x14ac:dyDescent="0.3">
      <c r="B10" s="4"/>
      <c r="C10" s="28">
        <v>0.81</v>
      </c>
      <c r="D10" s="62">
        <v>-37.897496757112201</v>
      </c>
      <c r="E10" s="50">
        <v>-41.0508130227526</v>
      </c>
      <c r="F10" s="50">
        <v>-91.212000000000003</v>
      </c>
      <c r="G10" s="50">
        <v>-94.017244893100695</v>
      </c>
      <c r="H10" s="50">
        <v>-101.892910769911</v>
      </c>
      <c r="I10" s="50">
        <v>-142.50692050431599</v>
      </c>
      <c r="J10" s="63">
        <v>-181.42091723137202</v>
      </c>
      <c r="K10" s="49"/>
      <c r="M10" s="4"/>
      <c r="N10" s="28">
        <v>0.81</v>
      </c>
      <c r="O10" s="69">
        <f t="shared" si="0"/>
        <v>-47.165982071921299</v>
      </c>
      <c r="P10" s="51">
        <f t="shared" si="0"/>
        <v>-49.320753445369903</v>
      </c>
      <c r="Q10" s="51">
        <f t="shared" si="0"/>
        <v>-81.788905769575194</v>
      </c>
      <c r="R10" s="51">
        <f t="shared" si="0"/>
        <v>-83.590294054497988</v>
      </c>
      <c r="S10" s="51">
        <f t="shared" si="0"/>
        <v>-88.559433739356294</v>
      </c>
      <c r="T10" s="51">
        <f t="shared" si="0"/>
        <v>-115.92891252167399</v>
      </c>
      <c r="U10" s="70">
        <f t="shared" si="0"/>
        <v>-142.75539093940529</v>
      </c>
      <c r="V10" s="56">
        <f t="shared" si="1"/>
        <v>0</v>
      </c>
      <c r="W10">
        <v>1.7</v>
      </c>
      <c r="X10" s="49"/>
      <c r="Y10" s="56">
        <f t="shared" ref="Y10:Y25" si="10">$X10*$W$6</f>
        <v>0</v>
      </c>
      <c r="Z10" s="56">
        <f t="shared" si="2"/>
        <v>0</v>
      </c>
      <c r="AA10" s="56">
        <f t="shared" si="3"/>
        <v>0</v>
      </c>
      <c r="AB10" s="56">
        <f t="shared" si="4"/>
        <v>0</v>
      </c>
      <c r="AC10" s="56">
        <f t="shared" si="5"/>
        <v>0</v>
      </c>
      <c r="AD10" s="56">
        <f t="shared" si="6"/>
        <v>0</v>
      </c>
      <c r="AE10" s="56">
        <f t="shared" si="7"/>
        <v>0</v>
      </c>
      <c r="AF10" s="56">
        <f t="shared" si="8"/>
        <v>0</v>
      </c>
      <c r="AG10" s="56">
        <f t="shared" si="9"/>
        <v>0</v>
      </c>
      <c r="AH10" s="76"/>
    </row>
    <row r="11" spans="2:35" x14ac:dyDescent="0.3">
      <c r="B11" s="4"/>
      <c r="C11" s="28">
        <v>0.9</v>
      </c>
      <c r="D11" s="62">
        <v>-29.3957464805538</v>
      </c>
      <c r="E11" s="50">
        <v>-32.5170404940474</v>
      </c>
      <c r="F11" s="50">
        <v>-83.324309881109201</v>
      </c>
      <c r="G11" s="50">
        <v>-86.212498077121694</v>
      </c>
      <c r="H11" s="50">
        <v>-94.213543309283097</v>
      </c>
      <c r="I11" s="50">
        <v>-135.73795630645901</v>
      </c>
      <c r="J11" s="63">
        <v>-175.56784168701901</v>
      </c>
      <c r="K11" s="49">
        <v>6.3315873544680601</v>
      </c>
      <c r="M11" s="4"/>
      <c r="N11" s="28">
        <v>0.9</v>
      </c>
      <c r="O11" s="62">
        <f t="shared" si="0"/>
        <v>-31.337013685751149</v>
      </c>
      <c r="P11" s="50">
        <f t="shared" si="0"/>
        <v>-33.491785059199756</v>
      </c>
      <c r="Q11" s="50">
        <f t="shared" si="0"/>
        <v>-65.959937383405048</v>
      </c>
      <c r="R11" s="50">
        <f t="shared" si="0"/>
        <v>-67.761325668327842</v>
      </c>
      <c r="S11" s="50">
        <f t="shared" si="0"/>
        <v>-72.730465353186148</v>
      </c>
      <c r="T11" s="50">
        <f t="shared" si="0"/>
        <v>-100.09994413550385</v>
      </c>
      <c r="U11" s="63">
        <f t="shared" si="0"/>
        <v>-126.92642255323514</v>
      </c>
      <c r="V11" s="55">
        <f t="shared" si="1"/>
        <v>15.82896838617015</v>
      </c>
      <c r="W11">
        <v>1.8</v>
      </c>
      <c r="X11" s="49">
        <v>6.3315873544680601</v>
      </c>
      <c r="Y11" s="55">
        <f t="shared" si="10"/>
        <v>8.2310635608084777</v>
      </c>
      <c r="Z11" s="55">
        <f t="shared" si="2"/>
        <v>8.8642222962552832</v>
      </c>
      <c r="AA11" s="55">
        <f t="shared" si="3"/>
        <v>9.4973810317020906</v>
      </c>
      <c r="AB11" s="55">
        <f t="shared" si="4"/>
        <v>10.130539767148896</v>
      </c>
      <c r="AC11" s="55">
        <f t="shared" si="5"/>
        <v>10.763698502595702</v>
      </c>
      <c r="AD11" s="55">
        <f t="shared" si="6"/>
        <v>11.396857238042509</v>
      </c>
      <c r="AE11" s="55">
        <f t="shared" si="7"/>
        <v>12.030015973489313</v>
      </c>
      <c r="AF11" s="55">
        <f t="shared" si="8"/>
        <v>12.66317470893612</v>
      </c>
      <c r="AG11" s="55">
        <f t="shared" si="9"/>
        <v>15.82896838617015</v>
      </c>
    </row>
    <row r="12" spans="2:35" x14ac:dyDescent="0.3">
      <c r="B12" s="4"/>
      <c r="C12" s="28">
        <v>1</v>
      </c>
      <c r="D12" s="62">
        <v>-19.458306755475601</v>
      </c>
      <c r="E12" s="50">
        <v>-22.466559245889499</v>
      </c>
      <c r="F12" s="50">
        <v>-73.033632022882202</v>
      </c>
      <c r="G12" s="50">
        <v>-75.933168845477809</v>
      </c>
      <c r="H12" s="50">
        <v>-84.033833450589498</v>
      </c>
      <c r="I12" s="50">
        <v>-126.37893378362901</v>
      </c>
      <c r="J12" s="63">
        <v>-167.218474835009</v>
      </c>
      <c r="K12" s="49">
        <v>7.8169334579526204</v>
      </c>
      <c r="M12" s="4"/>
      <c r="N12" s="28">
        <v>1</v>
      </c>
      <c r="O12" s="62">
        <f t="shared" si="0"/>
        <v>-27.623648427039747</v>
      </c>
      <c r="P12" s="50">
        <f t="shared" si="0"/>
        <v>-29.778419800488351</v>
      </c>
      <c r="Q12" s="50">
        <f t="shared" si="0"/>
        <v>-62.246572124693643</v>
      </c>
      <c r="R12" s="50">
        <f t="shared" si="0"/>
        <v>-64.047960409616437</v>
      </c>
      <c r="S12" s="50">
        <f t="shared" si="0"/>
        <v>-69.017100094474742</v>
      </c>
      <c r="T12" s="50">
        <f t="shared" si="0"/>
        <v>-96.386578876792441</v>
      </c>
      <c r="U12" s="63">
        <f t="shared" si="0"/>
        <v>-123.21305729452374</v>
      </c>
      <c r="V12" s="55">
        <f t="shared" si="1"/>
        <v>19.542333644881552</v>
      </c>
      <c r="W12">
        <v>1.9</v>
      </c>
      <c r="X12" s="49">
        <v>7.8169334579526204</v>
      </c>
      <c r="Y12" s="55">
        <f t="shared" si="10"/>
        <v>10.162013495338407</v>
      </c>
      <c r="Z12" s="55">
        <f t="shared" si="2"/>
        <v>10.943706841133668</v>
      </c>
      <c r="AA12" s="55">
        <f t="shared" si="3"/>
        <v>11.72540018692893</v>
      </c>
      <c r="AB12" s="55">
        <f t="shared" si="4"/>
        <v>12.507093532724193</v>
      </c>
      <c r="AC12" s="55">
        <f t="shared" si="5"/>
        <v>13.288786878519455</v>
      </c>
      <c r="AD12" s="55">
        <f t="shared" si="6"/>
        <v>14.070480224314718</v>
      </c>
      <c r="AE12" s="55">
        <f t="shared" si="7"/>
        <v>14.852173570109978</v>
      </c>
      <c r="AF12" s="55">
        <f t="shared" si="8"/>
        <v>15.633866915905241</v>
      </c>
      <c r="AG12" s="55">
        <f t="shared" si="9"/>
        <v>19.542333644881552</v>
      </c>
    </row>
    <row r="13" spans="2:35" x14ac:dyDescent="0.3">
      <c r="B13" s="4"/>
      <c r="C13" s="28">
        <v>1.1000000000000001</v>
      </c>
      <c r="D13" s="62">
        <v>-9.8781023396586214</v>
      </c>
      <c r="E13" s="50">
        <v>-12.518207597256</v>
      </c>
      <c r="F13" s="50">
        <v>-61.370962577619999</v>
      </c>
      <c r="G13" s="50"/>
      <c r="H13" s="50"/>
      <c r="I13" s="50"/>
      <c r="J13" s="63"/>
      <c r="K13" s="49">
        <v>9.4587073726907001</v>
      </c>
      <c r="M13" s="4"/>
      <c r="N13" s="28">
        <v>1.1000000000000001</v>
      </c>
      <c r="O13" s="62">
        <f t="shared" si="0"/>
        <v>-23.51921364019455</v>
      </c>
      <c r="P13" s="50">
        <f t="shared" si="0"/>
        <v>-25.673985013643154</v>
      </c>
      <c r="Q13" s="50">
        <f t="shared" si="0"/>
        <v>-58.142137337848446</v>
      </c>
      <c r="R13" s="50">
        <f t="shared" si="0"/>
        <v>-59.94352562277124</v>
      </c>
      <c r="S13" s="50">
        <f t="shared" si="0"/>
        <v>-64.912665307629538</v>
      </c>
      <c r="T13" s="50">
        <f t="shared" si="0"/>
        <v>-92.282144089947252</v>
      </c>
      <c r="U13" s="63">
        <f t="shared" si="0"/>
        <v>-119.10862250767855</v>
      </c>
      <c r="V13" s="55">
        <f t="shared" si="1"/>
        <v>23.646768431726748</v>
      </c>
      <c r="W13" s="29">
        <v>2</v>
      </c>
      <c r="X13" s="49">
        <v>9.4587073726907001</v>
      </c>
      <c r="Y13" s="55">
        <f t="shared" si="10"/>
        <v>12.29631958449791</v>
      </c>
      <c r="Z13" s="55">
        <f t="shared" si="2"/>
        <v>13.24219032176698</v>
      </c>
      <c r="AA13" s="55">
        <f t="shared" si="3"/>
        <v>14.18806105903605</v>
      </c>
      <c r="AB13" s="55">
        <f t="shared" si="4"/>
        <v>15.13393179630512</v>
      </c>
      <c r="AC13" s="55">
        <f t="shared" si="5"/>
        <v>16.079802533574188</v>
      </c>
      <c r="AD13" s="55">
        <f t="shared" si="6"/>
        <v>17.02567327084326</v>
      </c>
      <c r="AE13" s="55">
        <f t="shared" si="7"/>
        <v>17.971544008112328</v>
      </c>
      <c r="AF13" s="55">
        <f t="shared" si="8"/>
        <v>18.9174147453814</v>
      </c>
      <c r="AG13" s="55">
        <f t="shared" si="9"/>
        <v>23.646768431726748</v>
      </c>
    </row>
    <row r="14" spans="2:35" x14ac:dyDescent="0.3">
      <c r="B14" s="4"/>
      <c r="C14" s="28">
        <v>1.2</v>
      </c>
      <c r="D14" s="62">
        <v>-0.14882694821585599</v>
      </c>
      <c r="E14" s="50"/>
      <c r="F14" s="50">
        <v>-48.744161511239</v>
      </c>
      <c r="G14" s="50"/>
      <c r="H14" s="50"/>
      <c r="I14" s="50">
        <v>-102.879372689574</v>
      </c>
      <c r="J14" s="63">
        <v>-144.964616697769</v>
      </c>
      <c r="K14" s="49">
        <v>11.257318325499099</v>
      </c>
      <c r="M14" s="4"/>
      <c r="N14" s="28">
        <v>1.2</v>
      </c>
      <c r="O14" s="62">
        <f t="shared" si="0"/>
        <v>-19.02268625817355</v>
      </c>
      <c r="P14" s="50">
        <f t="shared" si="0"/>
        <v>-21.177457631622154</v>
      </c>
      <c r="Q14" s="50">
        <f t="shared" si="0"/>
        <v>-53.645609955827446</v>
      </c>
      <c r="R14" s="50">
        <f t="shared" si="0"/>
        <v>-55.44699824075024</v>
      </c>
      <c r="S14" s="50">
        <f t="shared" si="0"/>
        <v>-60.416137925608545</v>
      </c>
      <c r="T14" s="50">
        <f t="shared" si="0"/>
        <v>-87.785616707926238</v>
      </c>
      <c r="U14" s="63">
        <f t="shared" si="0"/>
        <v>-114.61209512565753</v>
      </c>
      <c r="V14" s="55">
        <f t="shared" si="1"/>
        <v>28.143295813747748</v>
      </c>
      <c r="W14">
        <v>2.5</v>
      </c>
      <c r="X14" s="49">
        <v>11.257318325499099</v>
      </c>
      <c r="Y14" s="55">
        <f t="shared" si="10"/>
        <v>14.634513823148829</v>
      </c>
      <c r="Z14" s="55">
        <f t="shared" si="2"/>
        <v>15.760245655698737</v>
      </c>
      <c r="AA14" s="55">
        <f t="shared" si="3"/>
        <v>16.885977488248649</v>
      </c>
      <c r="AB14" s="55">
        <f t="shared" si="4"/>
        <v>18.011709320798559</v>
      </c>
      <c r="AC14" s="55">
        <f t="shared" si="5"/>
        <v>19.137441153348469</v>
      </c>
      <c r="AD14" s="55">
        <f t="shared" si="6"/>
        <v>20.263172985898379</v>
      </c>
      <c r="AE14" s="55">
        <f t="shared" si="7"/>
        <v>21.388904818448289</v>
      </c>
      <c r="AF14" s="55">
        <f t="shared" si="8"/>
        <v>22.514636650998199</v>
      </c>
      <c r="AG14" s="55">
        <f t="shared" si="9"/>
        <v>28.143295813747748</v>
      </c>
    </row>
    <row r="15" spans="2:35" x14ac:dyDescent="0.3">
      <c r="B15" s="4"/>
      <c r="C15" s="28">
        <v>1.3</v>
      </c>
      <c r="D15" s="62"/>
      <c r="E15" s="50"/>
      <c r="F15" s="50"/>
      <c r="G15" s="50"/>
      <c r="H15" s="50"/>
      <c r="I15" s="50"/>
      <c r="J15" s="63"/>
      <c r="K15" s="49">
        <v>13</v>
      </c>
      <c r="M15" s="4"/>
      <c r="N15" s="28">
        <v>1.3</v>
      </c>
      <c r="O15" s="62">
        <f t="shared" si="0"/>
        <v>-14.665982071921299</v>
      </c>
      <c r="P15" s="50">
        <f t="shared" si="0"/>
        <v>-16.820753445369903</v>
      </c>
      <c r="Q15" s="50">
        <f t="shared" si="0"/>
        <v>-49.288905769575194</v>
      </c>
      <c r="R15" s="50">
        <f t="shared" si="0"/>
        <v>-51.090294054497988</v>
      </c>
      <c r="S15" s="50">
        <f t="shared" si="0"/>
        <v>-56.059433739356294</v>
      </c>
      <c r="T15" s="50">
        <f t="shared" si="0"/>
        <v>-83.428912521673993</v>
      </c>
      <c r="U15" s="63">
        <f t="shared" si="0"/>
        <v>-110.25539093940529</v>
      </c>
      <c r="V15" s="55">
        <f t="shared" si="1"/>
        <v>32.5</v>
      </c>
      <c r="X15" s="49">
        <v>13</v>
      </c>
      <c r="Y15" s="55">
        <f t="shared" si="10"/>
        <v>16.900000000000002</v>
      </c>
      <c r="Z15" s="55">
        <f t="shared" si="2"/>
        <v>18.2</v>
      </c>
      <c r="AA15" s="55">
        <f t="shared" si="3"/>
        <v>19.5</v>
      </c>
      <c r="AB15" s="55">
        <f t="shared" si="4"/>
        <v>20.8</v>
      </c>
      <c r="AC15" s="55">
        <f t="shared" si="5"/>
        <v>22.099999999999998</v>
      </c>
      <c r="AD15" s="55">
        <f t="shared" si="6"/>
        <v>23.400000000000002</v>
      </c>
      <c r="AE15" s="55">
        <f t="shared" si="7"/>
        <v>24.7</v>
      </c>
      <c r="AF15" s="55">
        <f t="shared" si="8"/>
        <v>26</v>
      </c>
      <c r="AG15" s="55">
        <f t="shared" si="9"/>
        <v>32.5</v>
      </c>
    </row>
    <row r="16" spans="2:35" x14ac:dyDescent="0.3">
      <c r="B16" s="4"/>
      <c r="C16" s="28">
        <v>1.4</v>
      </c>
      <c r="D16" s="62"/>
      <c r="E16" s="50"/>
      <c r="F16" s="50"/>
      <c r="G16" s="50"/>
      <c r="H16" s="50"/>
      <c r="I16" s="50"/>
      <c r="J16" s="63"/>
      <c r="K16" s="49"/>
      <c r="M16" s="4"/>
      <c r="N16" s="28">
        <v>1.4</v>
      </c>
      <c r="O16" s="69">
        <f t="shared" si="0"/>
        <v>-47.165982071921299</v>
      </c>
      <c r="P16" s="51">
        <f t="shared" si="0"/>
        <v>-49.320753445369903</v>
      </c>
      <c r="Q16" s="51">
        <f t="shared" si="0"/>
        <v>-81.788905769575194</v>
      </c>
      <c r="R16" s="51">
        <f t="shared" si="0"/>
        <v>-83.590294054497988</v>
      </c>
      <c r="S16" s="51">
        <f t="shared" si="0"/>
        <v>-88.559433739356294</v>
      </c>
      <c r="T16" s="51">
        <f t="shared" si="0"/>
        <v>-115.92891252167399</v>
      </c>
      <c r="U16" s="70">
        <f t="shared" si="0"/>
        <v>-142.75539093940529</v>
      </c>
      <c r="V16" s="56">
        <f t="shared" si="1"/>
        <v>0</v>
      </c>
      <c r="X16" s="49"/>
      <c r="Y16" s="56">
        <f t="shared" si="10"/>
        <v>0</v>
      </c>
      <c r="Z16" s="56">
        <f t="shared" si="2"/>
        <v>0</v>
      </c>
      <c r="AA16" s="56">
        <f t="shared" si="3"/>
        <v>0</v>
      </c>
      <c r="AB16" s="56">
        <f t="shared" si="4"/>
        <v>0</v>
      </c>
      <c r="AC16" s="56">
        <f t="shared" si="5"/>
        <v>0</v>
      </c>
      <c r="AD16" s="56">
        <f t="shared" si="6"/>
        <v>0</v>
      </c>
      <c r="AE16" s="56">
        <f t="shared" si="7"/>
        <v>0</v>
      </c>
      <c r="AF16" s="56">
        <f t="shared" si="8"/>
        <v>0</v>
      </c>
      <c r="AG16" s="56">
        <f t="shared" si="9"/>
        <v>0</v>
      </c>
      <c r="AH16" s="76"/>
      <c r="AI16" s="76"/>
    </row>
    <row r="17" spans="2:35" x14ac:dyDescent="0.3">
      <c r="B17" s="4"/>
      <c r="C17" s="28">
        <v>1.5</v>
      </c>
      <c r="D17" s="62"/>
      <c r="E17" s="50"/>
      <c r="F17" s="50"/>
      <c r="G17" s="50"/>
      <c r="H17" s="50"/>
      <c r="I17" s="50"/>
      <c r="J17" s="63"/>
      <c r="K17" s="49"/>
      <c r="M17" s="4"/>
      <c r="N17" s="28">
        <v>1.5</v>
      </c>
      <c r="O17" s="69">
        <f t="shared" si="0"/>
        <v>-47.165982071921299</v>
      </c>
      <c r="P17" s="51">
        <f t="shared" si="0"/>
        <v>-49.320753445369903</v>
      </c>
      <c r="Q17" s="51">
        <f t="shared" si="0"/>
        <v>-81.788905769575194</v>
      </c>
      <c r="R17" s="51">
        <f t="shared" si="0"/>
        <v>-83.590294054497988</v>
      </c>
      <c r="S17" s="51">
        <f t="shared" si="0"/>
        <v>-88.559433739356294</v>
      </c>
      <c r="T17" s="51">
        <f t="shared" si="0"/>
        <v>-115.92891252167399</v>
      </c>
      <c r="U17" s="70">
        <f t="shared" si="0"/>
        <v>-142.75539093940529</v>
      </c>
      <c r="V17" s="56">
        <f t="shared" si="1"/>
        <v>0</v>
      </c>
      <c r="X17" s="49"/>
      <c r="Y17" s="56">
        <f t="shared" si="10"/>
        <v>0</v>
      </c>
      <c r="Z17" s="56">
        <f t="shared" si="2"/>
        <v>0</v>
      </c>
      <c r="AA17" s="56">
        <f t="shared" si="3"/>
        <v>0</v>
      </c>
      <c r="AB17" s="56">
        <f t="shared" si="4"/>
        <v>0</v>
      </c>
      <c r="AC17" s="56">
        <f t="shared" si="5"/>
        <v>0</v>
      </c>
      <c r="AD17" s="56">
        <f t="shared" si="6"/>
        <v>0</v>
      </c>
      <c r="AE17" s="56">
        <f t="shared" si="7"/>
        <v>0</v>
      </c>
      <c r="AF17" s="56">
        <f t="shared" si="8"/>
        <v>0</v>
      </c>
      <c r="AG17" s="56">
        <f t="shared" si="9"/>
        <v>0</v>
      </c>
      <c r="AH17" s="76"/>
      <c r="AI17" s="76"/>
    </row>
    <row r="18" spans="2:35" x14ac:dyDescent="0.3">
      <c r="B18" s="4"/>
      <c r="C18" s="28">
        <v>1.6</v>
      </c>
      <c r="D18" s="62">
        <v>27.496640749384099</v>
      </c>
      <c r="E18" s="50">
        <v>0.28084375</v>
      </c>
      <c r="F18" s="50">
        <v>1.90605259435748</v>
      </c>
      <c r="G18" s="50">
        <v>0.36678124999999995</v>
      </c>
      <c r="H18" s="50">
        <v>0.37812500000000004</v>
      </c>
      <c r="I18" s="50">
        <v>-42.8693138224872</v>
      </c>
      <c r="J18" s="63">
        <v>-83.516908759039509</v>
      </c>
      <c r="K18" s="49"/>
      <c r="M18" s="4"/>
      <c r="N18" s="28">
        <v>1.6</v>
      </c>
      <c r="O18" s="73">
        <f t="shared" si="0"/>
        <v>-47.165982071921299</v>
      </c>
      <c r="P18" s="74">
        <f t="shared" si="0"/>
        <v>-49.320753445369903</v>
      </c>
      <c r="Q18" s="74">
        <f t="shared" si="0"/>
        <v>-81.788905769575194</v>
      </c>
      <c r="R18" s="74">
        <f t="shared" si="0"/>
        <v>-83.590294054497988</v>
      </c>
      <c r="S18" s="74">
        <f t="shared" si="0"/>
        <v>-88.559433739356294</v>
      </c>
      <c r="T18" s="74">
        <f t="shared" si="0"/>
        <v>-115.92891252167399</v>
      </c>
      <c r="U18" s="75">
        <f t="shared" si="0"/>
        <v>-142.75539093940529</v>
      </c>
      <c r="V18" s="56">
        <f t="shared" si="1"/>
        <v>0</v>
      </c>
      <c r="X18" s="49"/>
      <c r="Y18" s="56">
        <f t="shared" si="10"/>
        <v>0</v>
      </c>
      <c r="Z18" s="56">
        <f t="shared" si="2"/>
        <v>0</v>
      </c>
      <c r="AA18" s="56">
        <f t="shared" si="3"/>
        <v>0</v>
      </c>
      <c r="AB18" s="56">
        <f t="shared" si="4"/>
        <v>0</v>
      </c>
      <c r="AC18" s="56">
        <f t="shared" si="5"/>
        <v>0</v>
      </c>
      <c r="AD18" s="56">
        <f t="shared" si="6"/>
        <v>0</v>
      </c>
      <c r="AE18" s="56">
        <f t="shared" si="7"/>
        <v>0</v>
      </c>
      <c r="AF18" s="56">
        <f t="shared" si="8"/>
        <v>0</v>
      </c>
      <c r="AG18" s="56">
        <f t="shared" si="9"/>
        <v>0</v>
      </c>
      <c r="AH18" s="76"/>
      <c r="AI18" s="76"/>
    </row>
    <row r="19" spans="2:35" x14ac:dyDescent="0.3">
      <c r="B19" s="4"/>
      <c r="C19" s="28">
        <v>1.7</v>
      </c>
      <c r="D19" s="62"/>
      <c r="E19" s="50"/>
      <c r="F19" s="50"/>
      <c r="G19" s="50"/>
      <c r="H19" s="50"/>
      <c r="I19" s="50"/>
      <c r="J19" s="63"/>
      <c r="K19" s="49"/>
      <c r="M19" s="4"/>
      <c r="N19" s="28">
        <v>1.7</v>
      </c>
      <c r="O19" s="69">
        <f t="shared" si="0"/>
        <v>-47.165982071921299</v>
      </c>
      <c r="P19" s="51">
        <f t="shared" si="0"/>
        <v>-49.320753445369903</v>
      </c>
      <c r="Q19" s="51">
        <f t="shared" si="0"/>
        <v>-81.788905769575194</v>
      </c>
      <c r="R19" s="51">
        <f t="shared" si="0"/>
        <v>-83.590294054497988</v>
      </c>
      <c r="S19" s="51">
        <f t="shared" si="0"/>
        <v>-88.559433739356294</v>
      </c>
      <c r="T19" s="51">
        <f t="shared" si="0"/>
        <v>-115.92891252167399</v>
      </c>
      <c r="U19" s="70">
        <f t="shared" si="0"/>
        <v>-142.75539093940529</v>
      </c>
      <c r="V19" s="56">
        <f t="shared" si="1"/>
        <v>0</v>
      </c>
      <c r="X19" s="49"/>
      <c r="Y19" s="56">
        <f t="shared" si="10"/>
        <v>0</v>
      </c>
      <c r="Z19" s="56">
        <f t="shared" si="2"/>
        <v>0</v>
      </c>
      <c r="AA19" s="56">
        <f t="shared" si="3"/>
        <v>0</v>
      </c>
      <c r="AB19" s="56">
        <f t="shared" si="4"/>
        <v>0</v>
      </c>
      <c r="AC19" s="56">
        <f t="shared" si="5"/>
        <v>0</v>
      </c>
      <c r="AD19" s="56">
        <f t="shared" si="6"/>
        <v>0</v>
      </c>
      <c r="AE19" s="56">
        <f t="shared" si="7"/>
        <v>0</v>
      </c>
      <c r="AF19" s="56">
        <f t="shared" si="8"/>
        <v>0</v>
      </c>
      <c r="AG19" s="56">
        <f t="shared" si="9"/>
        <v>0</v>
      </c>
      <c r="AH19" s="76"/>
      <c r="AI19" s="76"/>
    </row>
    <row r="20" spans="2:35" x14ac:dyDescent="0.3">
      <c r="B20" s="4"/>
      <c r="C20" s="28">
        <v>1.8</v>
      </c>
      <c r="D20" s="62"/>
      <c r="E20" s="50"/>
      <c r="F20" s="50"/>
      <c r="G20" s="50"/>
      <c r="H20" s="50"/>
      <c r="I20" s="50"/>
      <c r="J20" s="63"/>
      <c r="K20" s="49"/>
      <c r="M20" s="4"/>
      <c r="N20" s="28">
        <v>1.8</v>
      </c>
      <c r="O20" s="69">
        <f t="shared" si="0"/>
        <v>-47.165982071921299</v>
      </c>
      <c r="P20" s="51">
        <f t="shared" si="0"/>
        <v>-49.320753445369903</v>
      </c>
      <c r="Q20" s="51">
        <f t="shared" si="0"/>
        <v>-81.788905769575194</v>
      </c>
      <c r="R20" s="51">
        <f t="shared" si="0"/>
        <v>-83.590294054497988</v>
      </c>
      <c r="S20" s="51">
        <f t="shared" si="0"/>
        <v>-88.559433739356294</v>
      </c>
      <c r="T20" s="51">
        <f t="shared" si="0"/>
        <v>-115.92891252167399</v>
      </c>
      <c r="U20" s="70">
        <f t="shared" si="0"/>
        <v>-142.75539093940529</v>
      </c>
      <c r="V20" s="56">
        <f t="shared" si="1"/>
        <v>0</v>
      </c>
      <c r="X20" s="49"/>
      <c r="Y20" s="56">
        <f t="shared" si="10"/>
        <v>0</v>
      </c>
      <c r="Z20" s="56">
        <f t="shared" si="2"/>
        <v>0</v>
      </c>
      <c r="AA20" s="56">
        <f t="shared" si="3"/>
        <v>0</v>
      </c>
      <c r="AB20" s="56">
        <f t="shared" si="4"/>
        <v>0</v>
      </c>
      <c r="AC20" s="56">
        <f t="shared" si="5"/>
        <v>0</v>
      </c>
      <c r="AD20" s="56">
        <f t="shared" si="6"/>
        <v>0</v>
      </c>
      <c r="AE20" s="56">
        <f t="shared" si="7"/>
        <v>0</v>
      </c>
      <c r="AF20" s="56">
        <f t="shared" si="8"/>
        <v>0</v>
      </c>
      <c r="AG20" s="56">
        <f t="shared" si="9"/>
        <v>0</v>
      </c>
      <c r="AH20" s="76"/>
      <c r="AI20" s="76"/>
    </row>
    <row r="21" spans="2:35" x14ac:dyDescent="0.3">
      <c r="B21" s="4"/>
      <c r="C21" s="28">
        <v>1.9</v>
      </c>
      <c r="D21" s="62"/>
      <c r="E21" s="50"/>
      <c r="F21" s="50"/>
      <c r="G21" s="50"/>
      <c r="H21" s="50"/>
      <c r="I21" s="50"/>
      <c r="J21" s="63"/>
      <c r="K21" s="49"/>
      <c r="M21" s="4"/>
      <c r="N21" s="28">
        <v>1.9</v>
      </c>
      <c r="O21" s="69">
        <f t="shared" si="0"/>
        <v>-47.165982071921299</v>
      </c>
      <c r="P21" s="51">
        <f t="shared" si="0"/>
        <v>-49.320753445369903</v>
      </c>
      <c r="Q21" s="51">
        <f t="shared" si="0"/>
        <v>-81.788905769575194</v>
      </c>
      <c r="R21" s="51">
        <f t="shared" si="0"/>
        <v>-83.590294054497988</v>
      </c>
      <c r="S21" s="51">
        <f t="shared" si="0"/>
        <v>-88.559433739356294</v>
      </c>
      <c r="T21" s="51">
        <f t="shared" si="0"/>
        <v>-115.92891252167399</v>
      </c>
      <c r="U21" s="70">
        <f t="shared" si="0"/>
        <v>-142.75539093940529</v>
      </c>
      <c r="V21" s="56">
        <f t="shared" si="1"/>
        <v>0</v>
      </c>
      <c r="X21" s="49"/>
      <c r="Y21" s="56">
        <f t="shared" si="10"/>
        <v>0</v>
      </c>
      <c r="Z21" s="56">
        <f t="shared" si="2"/>
        <v>0</v>
      </c>
      <c r="AA21" s="56">
        <f t="shared" si="3"/>
        <v>0</v>
      </c>
      <c r="AB21" s="56">
        <f t="shared" si="4"/>
        <v>0</v>
      </c>
      <c r="AC21" s="56">
        <f t="shared" si="5"/>
        <v>0</v>
      </c>
      <c r="AD21" s="56">
        <f t="shared" si="6"/>
        <v>0</v>
      </c>
      <c r="AE21" s="56">
        <f t="shared" si="7"/>
        <v>0</v>
      </c>
      <c r="AF21" s="56">
        <f t="shared" si="8"/>
        <v>0</v>
      </c>
      <c r="AG21" s="56">
        <f t="shared" si="9"/>
        <v>0</v>
      </c>
      <c r="AH21" s="76"/>
      <c r="AI21" s="76"/>
    </row>
    <row r="22" spans="2:35" x14ac:dyDescent="0.3">
      <c r="B22" s="4"/>
      <c r="C22" s="28">
        <v>2</v>
      </c>
      <c r="D22" s="62">
        <v>44.307260419950296</v>
      </c>
      <c r="E22" s="50"/>
      <c r="F22" s="50">
        <v>40.875691785352295</v>
      </c>
      <c r="G22" s="50"/>
      <c r="H22" s="50"/>
      <c r="I22" s="50">
        <v>17.068977449311301</v>
      </c>
      <c r="J22" s="63">
        <v>-15.178392546462799</v>
      </c>
      <c r="K22" s="49">
        <v>31.1820614536081</v>
      </c>
      <c r="M22" s="4"/>
      <c r="N22" s="28">
        <v>2</v>
      </c>
      <c r="O22" s="62">
        <f t="shared" ref="O22:U22" si="11">O$26+$V22</f>
        <v>30.78917156209895</v>
      </c>
      <c r="P22" s="50">
        <f t="shared" si="11"/>
        <v>28.634400188650346</v>
      </c>
      <c r="Q22" s="50">
        <f t="shared" si="11"/>
        <v>-3.8337521355549455</v>
      </c>
      <c r="R22" s="50">
        <f t="shared" si="11"/>
        <v>-5.6351404204777396</v>
      </c>
      <c r="S22" s="50">
        <f>S$26+$V22</f>
        <v>-10.604280105336045</v>
      </c>
      <c r="T22" s="50">
        <f t="shared" si="11"/>
        <v>-37.973758887653744</v>
      </c>
      <c r="U22" s="63">
        <f t="shared" si="11"/>
        <v>-64.800237305385039</v>
      </c>
      <c r="V22" s="55">
        <f t="shared" si="1"/>
        <v>77.955153634020249</v>
      </c>
      <c r="X22" s="49">
        <v>31.1820614536081</v>
      </c>
      <c r="Y22" s="55">
        <f t="shared" si="10"/>
        <v>40.536679889690532</v>
      </c>
      <c r="Z22" s="55">
        <f t="shared" si="2"/>
        <v>43.654886035051334</v>
      </c>
      <c r="AA22" s="55">
        <f t="shared" si="3"/>
        <v>46.773092180412149</v>
      </c>
      <c r="AB22" s="55">
        <f t="shared" si="4"/>
        <v>49.891298325772965</v>
      </c>
      <c r="AC22" s="55">
        <f t="shared" si="5"/>
        <v>53.009504471133766</v>
      </c>
      <c r="AD22" s="55">
        <f t="shared" si="6"/>
        <v>56.127710616494582</v>
      </c>
      <c r="AE22" s="55">
        <f t="shared" si="7"/>
        <v>59.245916761855383</v>
      </c>
      <c r="AF22" s="55">
        <f t="shared" si="8"/>
        <v>62.364122907216199</v>
      </c>
      <c r="AG22" s="55">
        <f t="shared" si="9"/>
        <v>77.955153634020249</v>
      </c>
    </row>
    <row r="23" spans="2:35" x14ac:dyDescent="0.3">
      <c r="B23" s="4"/>
      <c r="C23" s="28">
        <v>2.5</v>
      </c>
      <c r="D23" s="60">
        <v>58.445283094512803</v>
      </c>
      <c r="E23" s="47">
        <v>59.670488617264397</v>
      </c>
      <c r="F23" s="47">
        <v>71.1735684308739</v>
      </c>
      <c r="G23" s="47">
        <v>71.332609194232006</v>
      </c>
      <c r="H23" s="47">
        <v>71.578913369692103</v>
      </c>
      <c r="I23" s="47">
        <v>68.027438975237402</v>
      </c>
      <c r="J23" s="61">
        <v>57.287481882121</v>
      </c>
      <c r="K23" s="49"/>
      <c r="M23" s="4"/>
      <c r="N23" s="28">
        <v>2.5</v>
      </c>
      <c r="O23" s="71">
        <f t="shared" si="0"/>
        <v>-47.165982071921299</v>
      </c>
      <c r="P23" s="53">
        <f t="shared" si="0"/>
        <v>-49.320753445369903</v>
      </c>
      <c r="Q23" s="53">
        <f t="shared" si="0"/>
        <v>-81.788905769575194</v>
      </c>
      <c r="R23" s="53">
        <f t="shared" si="0"/>
        <v>-83.590294054497988</v>
      </c>
      <c r="S23" s="53">
        <f t="shared" si="0"/>
        <v>-88.559433739356294</v>
      </c>
      <c r="T23" s="53">
        <f t="shared" si="0"/>
        <v>-115.92891252167399</v>
      </c>
      <c r="U23" s="72">
        <f t="shared" si="0"/>
        <v>-142.75539093940529</v>
      </c>
      <c r="V23" s="56">
        <f t="shared" si="1"/>
        <v>0</v>
      </c>
      <c r="X23" s="49"/>
      <c r="Y23" s="56">
        <f t="shared" si="10"/>
        <v>0</v>
      </c>
      <c r="Z23" s="56">
        <f t="shared" si="2"/>
        <v>0</v>
      </c>
      <c r="AA23" s="56">
        <f t="shared" si="3"/>
        <v>0</v>
      </c>
      <c r="AB23" s="56">
        <f t="shared" si="4"/>
        <v>0</v>
      </c>
      <c r="AC23" s="56">
        <f t="shared" si="5"/>
        <v>0</v>
      </c>
      <c r="AD23" s="56">
        <f t="shared" si="6"/>
        <v>0</v>
      </c>
      <c r="AE23" s="56">
        <f t="shared" si="7"/>
        <v>0</v>
      </c>
      <c r="AF23" s="56">
        <f t="shared" si="8"/>
        <v>0</v>
      </c>
      <c r="AG23" s="56">
        <f t="shared" si="9"/>
        <v>0</v>
      </c>
      <c r="AH23" s="76"/>
    </row>
    <row r="24" spans="2:35" x14ac:dyDescent="0.3">
      <c r="B24" s="4"/>
      <c r="C24" s="28">
        <v>3</v>
      </c>
      <c r="D24" s="60">
        <v>74.186918728774998</v>
      </c>
      <c r="E24" s="47"/>
      <c r="F24" s="47">
        <v>92.407173698204389</v>
      </c>
      <c r="G24" s="47"/>
      <c r="H24" s="47"/>
      <c r="I24" s="47">
        <v>102.398841365823</v>
      </c>
      <c r="J24" s="61">
        <v>102.859825192984</v>
      </c>
      <c r="K24" s="49"/>
      <c r="M24" s="4"/>
      <c r="N24" s="28">
        <v>3</v>
      </c>
      <c r="O24" s="71">
        <f t="shared" ref="O24:U25" si="12">O$26+$V24</f>
        <v>-47.165982071921299</v>
      </c>
      <c r="P24" s="53">
        <f t="shared" si="12"/>
        <v>-49.320753445369903</v>
      </c>
      <c r="Q24" s="53">
        <f t="shared" si="12"/>
        <v>-81.788905769575194</v>
      </c>
      <c r="R24" s="53">
        <f t="shared" si="12"/>
        <v>-83.590294054497988</v>
      </c>
      <c r="S24" s="53">
        <f t="shared" si="12"/>
        <v>-88.559433739356294</v>
      </c>
      <c r="T24" s="53">
        <f t="shared" si="12"/>
        <v>-115.92891252167399</v>
      </c>
      <c r="U24" s="72">
        <f t="shared" si="12"/>
        <v>-142.75539093940529</v>
      </c>
      <c r="V24" s="56">
        <f t="shared" si="1"/>
        <v>0</v>
      </c>
      <c r="X24" s="49"/>
      <c r="Y24" s="56">
        <f t="shared" si="10"/>
        <v>0</v>
      </c>
      <c r="Z24" s="56">
        <f t="shared" si="2"/>
        <v>0</v>
      </c>
      <c r="AA24" s="56">
        <f t="shared" si="3"/>
        <v>0</v>
      </c>
      <c r="AB24" s="56">
        <f t="shared" si="4"/>
        <v>0</v>
      </c>
      <c r="AC24" s="56">
        <f t="shared" si="5"/>
        <v>0</v>
      </c>
      <c r="AD24" s="56">
        <f t="shared" si="6"/>
        <v>0</v>
      </c>
      <c r="AE24" s="56">
        <f t="shared" si="7"/>
        <v>0</v>
      </c>
      <c r="AF24" s="56">
        <f t="shared" si="8"/>
        <v>0</v>
      </c>
      <c r="AG24" s="56">
        <f t="shared" si="9"/>
        <v>0</v>
      </c>
      <c r="AH24" s="76"/>
    </row>
    <row r="25" spans="2:35" x14ac:dyDescent="0.3">
      <c r="B25" s="4"/>
      <c r="C25" s="28">
        <v>4</v>
      </c>
      <c r="D25" s="64">
        <v>112.109255688765</v>
      </c>
      <c r="E25" s="48"/>
      <c r="F25" s="48">
        <v>131.27613530666397</v>
      </c>
      <c r="G25" s="48"/>
      <c r="H25" s="48"/>
      <c r="I25" s="48">
        <v>148.75460485949901</v>
      </c>
      <c r="J25" s="65">
        <v>164.401899069682</v>
      </c>
      <c r="K25" s="49">
        <v>120.43696589999999</v>
      </c>
      <c r="M25" s="4"/>
      <c r="N25" s="28">
        <v>4</v>
      </c>
      <c r="O25" s="64">
        <f t="shared" si="12"/>
        <v>253.9264326780787</v>
      </c>
      <c r="P25" s="48">
        <f t="shared" si="12"/>
        <v>251.77166130463007</v>
      </c>
      <c r="Q25" s="48">
        <f t="shared" si="12"/>
        <v>219.30350898042479</v>
      </c>
      <c r="R25" s="48">
        <f t="shared" si="12"/>
        <v>217.50212069550201</v>
      </c>
      <c r="S25" s="48">
        <f t="shared" si="12"/>
        <v>212.53298101064371</v>
      </c>
      <c r="T25" s="48">
        <f t="shared" si="12"/>
        <v>185.163502228326</v>
      </c>
      <c r="U25" s="65">
        <f t="shared" si="12"/>
        <v>158.3370238105947</v>
      </c>
      <c r="V25" s="55">
        <f t="shared" si="1"/>
        <v>301.09241474999999</v>
      </c>
      <c r="X25" s="49">
        <v>120.43696589999999</v>
      </c>
      <c r="Y25" s="55">
        <f t="shared" si="10"/>
        <v>156.56805566999998</v>
      </c>
      <c r="Z25" s="55">
        <f t="shared" si="2"/>
        <v>168.61175225999997</v>
      </c>
      <c r="AA25" s="55">
        <f t="shared" si="3"/>
        <v>180.65544884999997</v>
      </c>
      <c r="AB25" s="55">
        <f t="shared" si="4"/>
        <v>192.69914544</v>
      </c>
      <c r="AC25" s="55">
        <f t="shared" si="5"/>
        <v>204.74284202999999</v>
      </c>
      <c r="AD25" s="55">
        <f t="shared" si="6"/>
        <v>216.78653861999999</v>
      </c>
      <c r="AE25" s="55">
        <f t="shared" si="7"/>
        <v>228.83023520999998</v>
      </c>
      <c r="AF25" s="55">
        <f t="shared" si="8"/>
        <v>240.87393179999998</v>
      </c>
      <c r="AG25" s="55">
        <f t="shared" si="9"/>
        <v>301.09241474999999</v>
      </c>
    </row>
    <row r="26" spans="2:35" x14ac:dyDescent="0.3">
      <c r="B26" s="54" t="s">
        <v>26</v>
      </c>
      <c r="C26" s="2"/>
      <c r="D26" s="48">
        <v>-67.379974388459004</v>
      </c>
      <c r="E26" s="48">
        <v>-70.458219207671291</v>
      </c>
      <c r="F26" s="48">
        <v>-116.84129395653601</v>
      </c>
      <c r="G26" s="48">
        <v>-119.41470579214</v>
      </c>
      <c r="H26" s="48">
        <v>-126.513476770509</v>
      </c>
      <c r="I26" s="48">
        <v>-165.61273217382001</v>
      </c>
      <c r="J26" s="48">
        <v>-203.936272770579</v>
      </c>
      <c r="K26" s="6"/>
      <c r="M26" s="54" t="s">
        <v>27</v>
      </c>
      <c r="N26" s="2"/>
      <c r="O26" s="48">
        <v>-47.165982071921299</v>
      </c>
      <c r="P26" s="48">
        <v>-49.320753445369903</v>
      </c>
      <c r="Q26" s="48">
        <v>-81.788905769575194</v>
      </c>
      <c r="R26" s="48">
        <v>-83.590294054497988</v>
      </c>
      <c r="S26" s="48">
        <v>-88.559433739356294</v>
      </c>
      <c r="T26" s="48">
        <v>-115.92891252167399</v>
      </c>
      <c r="U26" s="48">
        <v>-142.75539093940529</v>
      </c>
      <c r="V26" s="6"/>
      <c r="AD26" s="55"/>
      <c r="AG26" s="55"/>
    </row>
    <row r="27" spans="2:35" x14ac:dyDescent="0.3">
      <c r="M27" s="7" t="s">
        <v>28</v>
      </c>
      <c r="O27" s="47">
        <v>-67.379974388459004</v>
      </c>
      <c r="P27" s="47">
        <v>-70.458219207671291</v>
      </c>
      <c r="Q27" s="47">
        <v>-116.84129395653601</v>
      </c>
      <c r="R27" s="47">
        <v>-119.41470579214</v>
      </c>
      <c r="S27" s="47">
        <v>-126.513476770509</v>
      </c>
      <c r="T27" s="47">
        <v>-165.61273217382001</v>
      </c>
      <c r="U27" s="47">
        <v>-203.936272770579</v>
      </c>
      <c r="AD27" s="55"/>
      <c r="AG27" s="55"/>
    </row>
    <row r="28" spans="2:35" x14ac:dyDescent="0.3">
      <c r="B28" s="139" t="s">
        <v>29</v>
      </c>
      <c r="C28" s="139"/>
      <c r="D28" s="77">
        <v>-17.07</v>
      </c>
      <c r="M28" t="s">
        <v>30</v>
      </c>
      <c r="N28" s="52">
        <v>0.1</v>
      </c>
      <c r="O28" s="47">
        <f>O$27*$N28</f>
        <v>-6.737997438845901</v>
      </c>
      <c r="P28" s="47">
        <f t="shared" ref="P28:U34" si="13">P$27*$N28</f>
        <v>-7.0458219207671293</v>
      </c>
      <c r="Q28" s="47">
        <f t="shared" si="13"/>
        <v>-11.684129395653601</v>
      </c>
      <c r="R28" s="47">
        <f t="shared" si="13"/>
        <v>-11.941470579214</v>
      </c>
      <c r="S28" s="47">
        <f t="shared" si="13"/>
        <v>-12.6513476770509</v>
      </c>
      <c r="T28" s="47">
        <f t="shared" si="13"/>
        <v>-16.561273217382002</v>
      </c>
      <c r="U28" s="47">
        <f t="shared" si="13"/>
        <v>-20.393627277057902</v>
      </c>
      <c r="AD28" s="55"/>
      <c r="AG28" s="55"/>
    </row>
    <row r="29" spans="2:35" x14ac:dyDescent="0.3">
      <c r="B29" s="46" t="s">
        <v>12</v>
      </c>
      <c r="C29" s="1"/>
      <c r="D29" s="1" t="s">
        <v>2</v>
      </c>
      <c r="E29" s="1"/>
      <c r="F29" s="1"/>
      <c r="G29" s="1"/>
      <c r="H29" s="1"/>
      <c r="I29" s="1"/>
      <c r="J29" s="1"/>
      <c r="K29" s="45" t="s">
        <v>21</v>
      </c>
      <c r="N29" s="52">
        <v>0.2</v>
      </c>
      <c r="O29" s="47">
        <f t="shared" ref="O29:O34" si="14">O$27*$N29</f>
        <v>-13.475994877691802</v>
      </c>
      <c r="P29" s="47">
        <f t="shared" si="13"/>
        <v>-14.091643841534259</v>
      </c>
      <c r="Q29" s="47">
        <f t="shared" si="13"/>
        <v>-23.368258791307202</v>
      </c>
      <c r="R29" s="47">
        <f t="shared" si="13"/>
        <v>-23.882941158428</v>
      </c>
      <c r="S29" s="47">
        <f t="shared" si="13"/>
        <v>-25.3026953541018</v>
      </c>
      <c r="T29" s="47">
        <f t="shared" si="13"/>
        <v>-33.122546434764004</v>
      </c>
      <c r="U29" s="47">
        <f t="shared" si="13"/>
        <v>-40.787254554115805</v>
      </c>
      <c r="AD29" s="55"/>
      <c r="AG29" s="55"/>
    </row>
    <row r="30" spans="2:35" x14ac:dyDescent="0.3">
      <c r="B30" s="4"/>
      <c r="D30" s="57">
        <v>0.8</v>
      </c>
      <c r="E30" s="58">
        <v>0.81699999999999995</v>
      </c>
      <c r="F30" s="58">
        <v>1.0549999999999999</v>
      </c>
      <c r="G30" s="58">
        <v>1.0669999999999999</v>
      </c>
      <c r="H30" s="58">
        <v>1.1000000000000001</v>
      </c>
      <c r="I30" s="58">
        <v>1.26</v>
      </c>
      <c r="J30" s="59">
        <v>1.4</v>
      </c>
      <c r="K30" s="5"/>
      <c r="N30" s="52">
        <v>0.3</v>
      </c>
      <c r="O30" s="47">
        <f t="shared" si="14"/>
        <v>-20.213992316537702</v>
      </c>
      <c r="P30" s="47">
        <f t="shared" si="13"/>
        <v>-21.137465762301385</v>
      </c>
      <c r="Q30" s="47">
        <f t="shared" si="13"/>
        <v>-35.052388186960798</v>
      </c>
      <c r="R30" s="47">
        <f t="shared" si="13"/>
        <v>-35.824411737641995</v>
      </c>
      <c r="S30" s="47">
        <f t="shared" si="13"/>
        <v>-37.9540430311527</v>
      </c>
      <c r="T30" s="47">
        <f t="shared" si="13"/>
        <v>-49.683819652145999</v>
      </c>
      <c r="U30" s="47">
        <f t="shared" si="13"/>
        <v>-61.180881831173693</v>
      </c>
      <c r="AD30" s="55"/>
      <c r="AG30" s="55"/>
    </row>
    <row r="31" spans="2:35" x14ac:dyDescent="0.3">
      <c r="B31" s="4" t="s">
        <v>3</v>
      </c>
      <c r="C31" s="28">
        <v>0.4</v>
      </c>
      <c r="D31" s="60">
        <f>D6+$D$28</f>
        <v>-78.046303237543611</v>
      </c>
      <c r="E31" s="47">
        <f t="shared" ref="E31:J31" si="15">E6+$D$28</f>
        <v>-59.021207424731905</v>
      </c>
      <c r="F31" s="47">
        <f t="shared" si="15"/>
        <v>-109.08112727855561</v>
      </c>
      <c r="G31" s="47">
        <f t="shared" si="15"/>
        <v>-111.91465774758171</v>
      </c>
      <c r="H31" s="47">
        <f t="shared" si="15"/>
        <v>-119.755762031328</v>
      </c>
      <c r="I31" s="47">
        <f t="shared" si="15"/>
        <v>-160.22806755071298</v>
      </c>
      <c r="J31" s="61">
        <f t="shared" si="15"/>
        <v>-199.12602833864401</v>
      </c>
      <c r="K31" s="49">
        <v>1.2499501949606699</v>
      </c>
      <c r="N31" s="52">
        <v>0.4</v>
      </c>
      <c r="O31" s="47">
        <f t="shared" si="14"/>
        <v>-26.951989755383604</v>
      </c>
      <c r="P31" s="47">
        <f t="shared" si="13"/>
        <v>-28.183287683068517</v>
      </c>
      <c r="Q31" s="47">
        <f t="shared" si="13"/>
        <v>-46.736517582614404</v>
      </c>
      <c r="R31" s="47">
        <f t="shared" si="13"/>
        <v>-47.765882316856001</v>
      </c>
      <c r="S31" s="47">
        <f t="shared" si="13"/>
        <v>-50.605390708203601</v>
      </c>
      <c r="T31" s="47">
        <f t="shared" si="13"/>
        <v>-66.245092869528008</v>
      </c>
      <c r="U31" s="47">
        <f t="shared" si="13"/>
        <v>-81.574509108231609</v>
      </c>
      <c r="AD31" s="55"/>
      <c r="AG31" s="55"/>
    </row>
    <row r="32" spans="2:35" x14ac:dyDescent="0.3">
      <c r="B32" s="4"/>
      <c r="C32" s="28">
        <v>0.6</v>
      </c>
      <c r="D32" s="62">
        <f t="shared" ref="D32:J32" si="16">D7+$D$28</f>
        <v>-70.776294282357497</v>
      </c>
      <c r="E32" s="50">
        <f t="shared" si="16"/>
        <v>-73.795000000000002</v>
      </c>
      <c r="F32" s="50">
        <f t="shared" si="16"/>
        <v>-121.204122242945</v>
      </c>
      <c r="G32" s="50">
        <f t="shared" si="16"/>
        <v>-123.87614093053301</v>
      </c>
      <c r="H32" s="50">
        <f t="shared" si="16"/>
        <v>-131.365385648862</v>
      </c>
      <c r="I32" s="50">
        <f t="shared" si="16"/>
        <v>-171.31282762413397</v>
      </c>
      <c r="J32" s="63">
        <f t="shared" si="16"/>
        <v>-208.27949719674899</v>
      </c>
      <c r="K32" s="49">
        <v>2.8133517184500203</v>
      </c>
      <c r="N32" s="52">
        <v>0.5</v>
      </c>
      <c r="O32" s="47">
        <f t="shared" si="14"/>
        <v>-33.689987194229502</v>
      </c>
      <c r="P32" s="47">
        <f t="shared" si="13"/>
        <v>-35.229109603835646</v>
      </c>
      <c r="Q32" s="47">
        <f t="shared" si="13"/>
        <v>-58.420646978268003</v>
      </c>
      <c r="R32" s="47">
        <f t="shared" si="13"/>
        <v>-59.707352896069999</v>
      </c>
      <c r="S32" s="47">
        <f t="shared" si="13"/>
        <v>-63.256738385254501</v>
      </c>
      <c r="T32" s="47">
        <f t="shared" si="13"/>
        <v>-82.806366086910003</v>
      </c>
      <c r="U32" s="47">
        <f t="shared" si="13"/>
        <v>-101.9681363852895</v>
      </c>
      <c r="AD32" s="55"/>
      <c r="AG32" s="55"/>
    </row>
    <row r="33" spans="2:21" x14ac:dyDescent="0.3">
      <c r="B33" s="4"/>
      <c r="C33" s="28">
        <v>0.75600000000000001</v>
      </c>
      <c r="D33" s="62">
        <f t="shared" ref="D33:J33" si="17">D8+$D$28</f>
        <v>-59.317476161254</v>
      </c>
      <c r="E33" s="50">
        <f t="shared" si="17"/>
        <v>-62.446116938644501</v>
      </c>
      <c r="F33" s="50">
        <f t="shared" si="17"/>
        <v>-112.1456779267946</v>
      </c>
      <c r="G33" s="50">
        <f t="shared" si="17"/>
        <v>-114.92304380718321</v>
      </c>
      <c r="H33" s="50">
        <f t="shared" si="17"/>
        <v>-122.67483552327101</v>
      </c>
      <c r="I33" s="50">
        <f t="shared" si="17"/>
        <v>-162.6</v>
      </c>
      <c r="J33" s="63">
        <f t="shared" si="17"/>
        <v>-201.51164201717299</v>
      </c>
      <c r="K33" s="49">
        <v>4.5147346124925996</v>
      </c>
      <c r="N33" s="52">
        <v>0.6</v>
      </c>
      <c r="O33" s="47">
        <f t="shared" si="14"/>
        <v>-40.427984633075404</v>
      </c>
      <c r="P33" s="47">
        <f t="shared" si="13"/>
        <v>-42.274931524602771</v>
      </c>
      <c r="Q33" s="47">
        <f t="shared" si="13"/>
        <v>-70.104776373921595</v>
      </c>
      <c r="R33" s="47">
        <f t="shared" si="13"/>
        <v>-71.64882347528399</v>
      </c>
      <c r="S33" s="47">
        <f t="shared" si="13"/>
        <v>-75.908086062305401</v>
      </c>
      <c r="T33" s="47">
        <f t="shared" si="13"/>
        <v>-99.367639304291998</v>
      </c>
      <c r="U33" s="47">
        <f t="shared" si="13"/>
        <v>-122.36176366234739</v>
      </c>
    </row>
    <row r="34" spans="2:21" x14ac:dyDescent="0.3">
      <c r="B34" s="4"/>
      <c r="C34" s="28">
        <v>0.8</v>
      </c>
      <c r="D34" s="62">
        <f t="shared" ref="D34:J34" si="18">D9+$D$28</f>
        <v>-55.858013890599196</v>
      </c>
      <c r="E34" s="50">
        <f t="shared" si="18"/>
        <v>-59.021207424731905</v>
      </c>
      <c r="F34" s="50">
        <f t="shared" si="18"/>
        <v>-109.08112727855561</v>
      </c>
      <c r="G34" s="50">
        <f t="shared" si="18"/>
        <v>-111.91499999999999</v>
      </c>
      <c r="H34" s="50">
        <f t="shared" si="18"/>
        <v>-119.755762031328</v>
      </c>
      <c r="I34" s="50">
        <f t="shared" si="18"/>
        <v>-160.22806755071298</v>
      </c>
      <c r="J34" s="63">
        <f t="shared" si="18"/>
        <v>-199.12602833864401</v>
      </c>
      <c r="K34" s="49">
        <v>5.0026295278839301</v>
      </c>
      <c r="N34" s="52">
        <v>0.7</v>
      </c>
      <c r="O34" s="47">
        <f t="shared" si="14"/>
        <v>-47.165982071921299</v>
      </c>
      <c r="P34" s="47">
        <f t="shared" si="13"/>
        <v>-49.320753445369903</v>
      </c>
      <c r="Q34" s="47">
        <f t="shared" si="13"/>
        <v>-81.788905769575194</v>
      </c>
      <c r="R34" s="47">
        <f t="shared" si="13"/>
        <v>-83.590294054497988</v>
      </c>
      <c r="S34" s="47">
        <f t="shared" si="13"/>
        <v>-88.559433739356294</v>
      </c>
      <c r="T34" s="47">
        <f t="shared" si="13"/>
        <v>-115.92891252167399</v>
      </c>
      <c r="U34" s="47">
        <f t="shared" si="13"/>
        <v>-142.75539093940529</v>
      </c>
    </row>
    <row r="35" spans="2:21" x14ac:dyDescent="0.3">
      <c r="B35" s="4"/>
      <c r="C35" s="28">
        <v>0.81</v>
      </c>
      <c r="D35" s="62">
        <f t="shared" ref="D35:J35" si="19">D10+$D$28</f>
        <v>-54.967496757112201</v>
      </c>
      <c r="E35" s="50">
        <f t="shared" si="19"/>
        <v>-58.1208130227526</v>
      </c>
      <c r="F35" s="50">
        <f t="shared" si="19"/>
        <v>-108.28200000000001</v>
      </c>
      <c r="G35" s="50">
        <f t="shared" si="19"/>
        <v>-111.08724489310069</v>
      </c>
      <c r="H35" s="50">
        <f t="shared" si="19"/>
        <v>-118.96291076991099</v>
      </c>
      <c r="I35" s="50">
        <f t="shared" si="19"/>
        <v>-159.57692050431598</v>
      </c>
      <c r="J35" s="63">
        <f t="shared" si="19"/>
        <v>-198.49091723137201</v>
      </c>
      <c r="K35" s="49"/>
    </row>
    <row r="36" spans="2:21" x14ac:dyDescent="0.3">
      <c r="B36" s="4"/>
      <c r="C36" s="28">
        <v>0.9</v>
      </c>
      <c r="D36" s="62">
        <f t="shared" ref="D36:J36" si="20">D11+$D$28</f>
        <v>-46.465746480553804</v>
      </c>
      <c r="E36" s="50">
        <f t="shared" si="20"/>
        <v>-49.5870404940474</v>
      </c>
      <c r="F36" s="50">
        <f t="shared" si="20"/>
        <v>-100.39430988110919</v>
      </c>
      <c r="G36" s="50">
        <f t="shared" si="20"/>
        <v>-103.28249807712169</v>
      </c>
      <c r="H36" s="50">
        <f t="shared" si="20"/>
        <v>-111.28354330928309</v>
      </c>
      <c r="I36" s="50">
        <f t="shared" si="20"/>
        <v>-152.807956306459</v>
      </c>
      <c r="J36" s="63">
        <f t="shared" si="20"/>
        <v>-192.63784168701901</v>
      </c>
      <c r="K36" s="49">
        <v>6.3315873544680601</v>
      </c>
    </row>
    <row r="37" spans="2:21" x14ac:dyDescent="0.3">
      <c r="B37" s="4"/>
      <c r="C37" s="28">
        <v>1</v>
      </c>
      <c r="D37" s="62">
        <f t="shared" ref="D37:J37" si="21">D12+$D$28</f>
        <v>-36.528306755475597</v>
      </c>
      <c r="E37" s="50">
        <f t="shared" si="21"/>
        <v>-39.536559245889499</v>
      </c>
      <c r="F37" s="50">
        <f t="shared" si="21"/>
        <v>-90.103632022882209</v>
      </c>
      <c r="G37" s="50">
        <f t="shared" si="21"/>
        <v>-93.003168845477802</v>
      </c>
      <c r="H37" s="50">
        <f t="shared" si="21"/>
        <v>-101.10383345058949</v>
      </c>
      <c r="I37" s="50">
        <f t="shared" si="21"/>
        <v>-143.448933783629</v>
      </c>
      <c r="J37" s="63">
        <f t="shared" si="21"/>
        <v>-184.288474835009</v>
      </c>
      <c r="K37" s="49">
        <v>7.8169334579526204</v>
      </c>
    </row>
    <row r="38" spans="2:21" x14ac:dyDescent="0.3">
      <c r="B38" s="4"/>
      <c r="C38" s="28">
        <v>1.1000000000000001</v>
      </c>
      <c r="D38" s="62">
        <f t="shared" ref="D38:J38" si="22">D13+$D$28</f>
        <v>-26.948102339658622</v>
      </c>
      <c r="E38" s="50">
        <f t="shared" si="22"/>
        <v>-29.588207597256002</v>
      </c>
      <c r="F38" s="50">
        <f t="shared" si="22"/>
        <v>-78.440962577619999</v>
      </c>
      <c r="G38" s="51">
        <f t="shared" si="22"/>
        <v>-17.07</v>
      </c>
      <c r="H38" s="51">
        <f t="shared" si="22"/>
        <v>-17.07</v>
      </c>
      <c r="I38" s="51">
        <f t="shared" si="22"/>
        <v>-17.07</v>
      </c>
      <c r="J38" s="70">
        <f t="shared" si="22"/>
        <v>-17.07</v>
      </c>
      <c r="K38" s="49">
        <v>9.4587073726907001</v>
      </c>
    </row>
    <row r="39" spans="2:21" x14ac:dyDescent="0.3">
      <c r="B39" s="4"/>
      <c r="C39" s="28">
        <v>1.2</v>
      </c>
      <c r="D39" s="62">
        <f t="shared" ref="D39:J39" si="23">D14+$D$28</f>
        <v>-17.218826948215856</v>
      </c>
      <c r="E39" s="51">
        <f t="shared" si="23"/>
        <v>-17.07</v>
      </c>
      <c r="F39" s="50">
        <f t="shared" si="23"/>
        <v>-65.814161511239007</v>
      </c>
      <c r="G39" s="51">
        <f t="shared" si="23"/>
        <v>-17.07</v>
      </c>
      <c r="H39" s="51">
        <f t="shared" si="23"/>
        <v>-17.07</v>
      </c>
      <c r="I39" s="50">
        <f t="shared" si="23"/>
        <v>-119.94937268957401</v>
      </c>
      <c r="J39" s="63">
        <f t="shared" si="23"/>
        <v>-162.034616697769</v>
      </c>
      <c r="K39" s="49">
        <v>11.257318325499099</v>
      </c>
    </row>
    <row r="40" spans="2:21" x14ac:dyDescent="0.3">
      <c r="B40" s="4"/>
      <c r="C40" s="28">
        <v>1.3</v>
      </c>
      <c r="D40" s="69">
        <f t="shared" ref="D40:J40" si="24">D15+$D$28</f>
        <v>-17.07</v>
      </c>
      <c r="E40" s="51">
        <f t="shared" si="24"/>
        <v>-17.07</v>
      </c>
      <c r="F40" s="51">
        <f t="shared" si="24"/>
        <v>-17.07</v>
      </c>
      <c r="G40" s="51">
        <f t="shared" si="24"/>
        <v>-17.07</v>
      </c>
      <c r="H40" s="51">
        <f t="shared" si="24"/>
        <v>-17.07</v>
      </c>
      <c r="I40" s="51">
        <f t="shared" si="24"/>
        <v>-17.07</v>
      </c>
      <c r="J40" s="70">
        <f t="shared" si="24"/>
        <v>-17.07</v>
      </c>
      <c r="K40" s="49">
        <v>13</v>
      </c>
    </row>
    <row r="41" spans="2:21" x14ac:dyDescent="0.3">
      <c r="B41" s="4"/>
      <c r="C41" s="28">
        <v>1.4</v>
      </c>
      <c r="D41" s="69">
        <f t="shared" ref="D41:J41" si="25">D16+$D$28</f>
        <v>-17.07</v>
      </c>
      <c r="E41" s="51">
        <f t="shared" si="25"/>
        <v>-17.07</v>
      </c>
      <c r="F41" s="51">
        <f t="shared" si="25"/>
        <v>-17.07</v>
      </c>
      <c r="G41" s="51">
        <f t="shared" si="25"/>
        <v>-17.07</v>
      </c>
      <c r="H41" s="51">
        <f t="shared" si="25"/>
        <v>-17.07</v>
      </c>
      <c r="I41" s="51">
        <f t="shared" si="25"/>
        <v>-17.07</v>
      </c>
      <c r="J41" s="70">
        <f t="shared" si="25"/>
        <v>-17.07</v>
      </c>
      <c r="K41" s="49"/>
    </row>
    <row r="42" spans="2:21" x14ac:dyDescent="0.3">
      <c r="B42" s="4"/>
      <c r="C42" s="28">
        <v>1.5</v>
      </c>
      <c r="D42" s="69">
        <f t="shared" ref="D42:J42" si="26">D17+$D$28</f>
        <v>-17.07</v>
      </c>
      <c r="E42" s="51">
        <f t="shared" si="26"/>
        <v>-17.07</v>
      </c>
      <c r="F42" s="51">
        <f t="shared" si="26"/>
        <v>-17.07</v>
      </c>
      <c r="G42" s="51">
        <f t="shared" si="26"/>
        <v>-17.07</v>
      </c>
      <c r="H42" s="51">
        <f t="shared" si="26"/>
        <v>-17.07</v>
      </c>
      <c r="I42" s="51">
        <f t="shared" si="26"/>
        <v>-17.07</v>
      </c>
      <c r="J42" s="70">
        <f t="shared" si="26"/>
        <v>-17.07</v>
      </c>
      <c r="K42" s="49"/>
    </row>
    <row r="43" spans="2:21" x14ac:dyDescent="0.3">
      <c r="B43" s="4"/>
      <c r="C43" s="28">
        <v>1.6</v>
      </c>
      <c r="D43" s="62">
        <f t="shared" ref="D43:J43" si="27">D18+$D$28</f>
        <v>10.426640749384099</v>
      </c>
      <c r="E43" s="50">
        <f t="shared" si="27"/>
        <v>-16.789156250000001</v>
      </c>
      <c r="F43" s="50">
        <f t="shared" si="27"/>
        <v>-15.163947405642521</v>
      </c>
      <c r="G43" s="50">
        <f t="shared" si="27"/>
        <v>-16.703218750000001</v>
      </c>
      <c r="H43" s="50">
        <f t="shared" si="27"/>
        <v>-16.691875</v>
      </c>
      <c r="I43" s="50">
        <f t="shared" si="27"/>
        <v>-59.9393138224872</v>
      </c>
      <c r="J43" s="63">
        <f t="shared" si="27"/>
        <v>-100.58690875903952</v>
      </c>
      <c r="K43" s="49"/>
    </row>
    <row r="44" spans="2:21" x14ac:dyDescent="0.3">
      <c r="B44" s="4"/>
      <c r="C44" s="28">
        <v>1.7</v>
      </c>
      <c r="D44" s="69">
        <f t="shared" ref="D44:J44" si="28">D19+$D$28</f>
        <v>-17.07</v>
      </c>
      <c r="E44" s="51">
        <f t="shared" si="28"/>
        <v>-17.07</v>
      </c>
      <c r="F44" s="51">
        <f t="shared" si="28"/>
        <v>-17.07</v>
      </c>
      <c r="G44" s="51">
        <f t="shared" si="28"/>
        <v>-17.07</v>
      </c>
      <c r="H44" s="51">
        <f t="shared" si="28"/>
        <v>-17.07</v>
      </c>
      <c r="I44" s="51">
        <f t="shared" si="28"/>
        <v>-17.07</v>
      </c>
      <c r="J44" s="70">
        <f t="shared" si="28"/>
        <v>-17.07</v>
      </c>
      <c r="K44" s="49"/>
    </row>
    <row r="45" spans="2:21" x14ac:dyDescent="0.3">
      <c r="B45" s="4"/>
      <c r="C45" s="28">
        <v>1.8</v>
      </c>
      <c r="D45" s="69">
        <f t="shared" ref="D45:J45" si="29">D20+$D$28</f>
        <v>-17.07</v>
      </c>
      <c r="E45" s="51">
        <f t="shared" si="29"/>
        <v>-17.07</v>
      </c>
      <c r="F45" s="51">
        <f t="shared" si="29"/>
        <v>-17.07</v>
      </c>
      <c r="G45" s="51">
        <f t="shared" si="29"/>
        <v>-17.07</v>
      </c>
      <c r="H45" s="51">
        <f t="shared" si="29"/>
        <v>-17.07</v>
      </c>
      <c r="I45" s="51">
        <f t="shared" si="29"/>
        <v>-17.07</v>
      </c>
      <c r="J45" s="70">
        <f t="shared" si="29"/>
        <v>-17.07</v>
      </c>
      <c r="K45" s="49"/>
    </row>
    <row r="46" spans="2:21" x14ac:dyDescent="0.3">
      <c r="B46" s="4"/>
      <c r="C46" s="28">
        <v>1.9</v>
      </c>
      <c r="D46" s="69">
        <f t="shared" ref="D46:J46" si="30">D21+$D$28</f>
        <v>-17.07</v>
      </c>
      <c r="E46" s="51">
        <f t="shared" si="30"/>
        <v>-17.07</v>
      </c>
      <c r="F46" s="51">
        <f t="shared" si="30"/>
        <v>-17.07</v>
      </c>
      <c r="G46" s="51">
        <f t="shared" si="30"/>
        <v>-17.07</v>
      </c>
      <c r="H46" s="51">
        <f t="shared" si="30"/>
        <v>-17.07</v>
      </c>
      <c r="I46" s="51">
        <f t="shared" si="30"/>
        <v>-17.07</v>
      </c>
      <c r="J46" s="70">
        <f t="shared" si="30"/>
        <v>-17.07</v>
      </c>
      <c r="K46" s="49"/>
    </row>
    <row r="47" spans="2:21" x14ac:dyDescent="0.3">
      <c r="B47" s="4"/>
      <c r="C47" s="28">
        <v>2</v>
      </c>
      <c r="D47" s="62">
        <f t="shared" ref="D47:J47" si="31">D22+$D$28</f>
        <v>27.237260419950296</v>
      </c>
      <c r="E47" s="51">
        <f t="shared" si="31"/>
        <v>-17.07</v>
      </c>
      <c r="F47" s="50">
        <f t="shared" si="31"/>
        <v>23.805691785352295</v>
      </c>
      <c r="G47" s="51">
        <f t="shared" si="31"/>
        <v>-17.07</v>
      </c>
      <c r="H47" s="51">
        <f t="shared" si="31"/>
        <v>-17.07</v>
      </c>
      <c r="I47" s="79">
        <f t="shared" si="31"/>
        <v>-1.0225506886989422E-3</v>
      </c>
      <c r="J47" s="63">
        <f t="shared" si="31"/>
        <v>-32.248392546462796</v>
      </c>
      <c r="K47" s="49">
        <v>31.1820614536081</v>
      </c>
    </row>
    <row r="48" spans="2:21" x14ac:dyDescent="0.3">
      <c r="B48" s="4"/>
      <c r="C48" s="28">
        <v>2.5</v>
      </c>
      <c r="D48" s="60">
        <f t="shared" ref="D48:J48" si="32">D23+$D$28</f>
        <v>41.375283094512803</v>
      </c>
      <c r="E48" s="47">
        <f t="shared" si="32"/>
        <v>42.600488617264396</v>
      </c>
      <c r="F48" s="47">
        <f t="shared" si="32"/>
        <v>54.103568430873899</v>
      </c>
      <c r="G48" s="47">
        <f t="shared" si="32"/>
        <v>54.262609194232006</v>
      </c>
      <c r="H48" s="47">
        <f t="shared" si="32"/>
        <v>54.508913369692102</v>
      </c>
      <c r="I48" s="47">
        <f t="shared" si="32"/>
        <v>50.957438975237402</v>
      </c>
      <c r="J48" s="61">
        <f t="shared" si="32"/>
        <v>40.217481882121</v>
      </c>
      <c r="K48" s="49"/>
    </row>
    <row r="49" spans="2:11" x14ac:dyDescent="0.3">
      <c r="B49" s="4"/>
      <c r="C49" s="28">
        <v>3</v>
      </c>
      <c r="D49" s="60">
        <f t="shared" ref="D49:J49" si="33">D24+$D$28</f>
        <v>57.116918728774998</v>
      </c>
      <c r="E49" s="53">
        <f t="shared" si="33"/>
        <v>-17.07</v>
      </c>
      <c r="F49" s="47">
        <f t="shared" si="33"/>
        <v>75.337173698204396</v>
      </c>
      <c r="G49" s="53">
        <f t="shared" si="33"/>
        <v>-17.07</v>
      </c>
      <c r="H49" s="53">
        <f t="shared" si="33"/>
        <v>-17.07</v>
      </c>
      <c r="I49" s="47">
        <f t="shared" si="33"/>
        <v>85.328841365822996</v>
      </c>
      <c r="J49" s="61">
        <f t="shared" si="33"/>
        <v>85.789825192984011</v>
      </c>
      <c r="K49" s="49"/>
    </row>
    <row r="50" spans="2:11" x14ac:dyDescent="0.3">
      <c r="B50" s="4"/>
      <c r="C50" s="28">
        <v>4</v>
      </c>
      <c r="D50" s="64">
        <f t="shared" ref="D50:J50" si="34">D25+$D$28</f>
        <v>95.039255688764996</v>
      </c>
      <c r="E50" s="78">
        <f t="shared" si="34"/>
        <v>-17.07</v>
      </c>
      <c r="F50" s="48">
        <f t="shared" si="34"/>
        <v>114.20613530666398</v>
      </c>
      <c r="G50" s="78">
        <f t="shared" si="34"/>
        <v>-17.07</v>
      </c>
      <c r="H50" s="78">
        <f t="shared" si="34"/>
        <v>-17.07</v>
      </c>
      <c r="I50" s="48">
        <f t="shared" si="34"/>
        <v>131.68460485949902</v>
      </c>
      <c r="J50" s="65">
        <f t="shared" si="34"/>
        <v>147.33189906968201</v>
      </c>
      <c r="K50" s="49">
        <v>120.43696589999999</v>
      </c>
    </row>
    <row r="51" spans="2:11" x14ac:dyDescent="0.3">
      <c r="B51" s="54" t="s">
        <v>26</v>
      </c>
      <c r="C51" s="2"/>
      <c r="D51" s="48">
        <v>-67.379974388459004</v>
      </c>
      <c r="E51" s="48">
        <v>-70.458219207671291</v>
      </c>
      <c r="F51" s="48">
        <v>-116.84129395653601</v>
      </c>
      <c r="G51" s="48">
        <v>-119.41470579214</v>
      </c>
      <c r="H51" s="48">
        <v>-126.513476770509</v>
      </c>
      <c r="I51" s="48">
        <v>-165.61273217382001</v>
      </c>
      <c r="J51" s="48">
        <v>-203.936272770579</v>
      </c>
      <c r="K51" s="6"/>
    </row>
  </sheetData>
  <mergeCells count="4">
    <mergeCell ref="V4:V5"/>
    <mergeCell ref="X4:X5"/>
    <mergeCell ref="Y4:Y5"/>
    <mergeCell ref="B28:C28"/>
  </mergeCells>
  <pageMargins left="0.7" right="0.7" top="0.75" bottom="0.75" header="0.3" footer="0.3"/>
  <ignoredErrors>
    <ignoredError sqref="AA6" formula="1"/>
  </ignoredError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ac0bed1-a651-4ab3-addc-eea8d667dad6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711DED9B91BE44C8013A26A1E06FDA2" ma:contentTypeVersion="18" ma:contentTypeDescription="Create a new document." ma:contentTypeScope="" ma:versionID="5447faf48a349e00ebf593d4c991adc9">
  <xsd:schema xmlns:xsd="http://www.w3.org/2001/XMLSchema" xmlns:xs="http://www.w3.org/2001/XMLSchema" xmlns:p="http://schemas.microsoft.com/office/2006/metadata/properties" xmlns:ns3="1ac0bed1-a651-4ab3-addc-eea8d667dad6" xmlns:ns4="0dc9e4e4-a892-4dd4-98b1-865ac25722b7" targetNamespace="http://schemas.microsoft.com/office/2006/metadata/properties" ma:root="true" ma:fieldsID="022bace2f65bf93b1c0e9b90fa886cf3" ns3:_="" ns4:_="">
    <xsd:import namespace="1ac0bed1-a651-4ab3-addc-eea8d667dad6"/>
    <xsd:import namespace="0dc9e4e4-a892-4dd4-98b1-865ac25722b7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DateTaken" minOccurs="0"/>
                <xsd:element ref="ns3:MediaServiceLocation" minOccurs="0"/>
                <xsd:element ref="ns3:MediaLengthInSeconds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  <xsd:element ref="ns3:MediaServiceObjectDetectorVersions" minOccurs="0"/>
                <xsd:element ref="ns3:MediaServiceSystemTag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ac0bed1-a651-4ab3-addc-eea8d667da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SystemTags" ma:index="24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c9e4e4-a892-4dd4-98b1-865ac25722b7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EF9FB39-F112-460D-B8D1-5E600FAE24BA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C0DC3772-DA02-4A86-9A26-A2DEF27FFEDF}">
  <ds:schemaRefs>
    <ds:schemaRef ds:uri="http://schemas.microsoft.com/office/2006/documentManagement/types"/>
    <ds:schemaRef ds:uri="http://purl.org/dc/terms/"/>
    <ds:schemaRef ds:uri="http://schemas.microsoft.com/office/2006/metadata/properties"/>
    <ds:schemaRef ds:uri="http://www.w3.org/XML/1998/namespace"/>
    <ds:schemaRef ds:uri="http://schemas.microsoft.com/office/infopath/2007/PartnerControls"/>
    <ds:schemaRef ds:uri="http://purl.org/dc/dcmitype/"/>
    <ds:schemaRef ds:uri="0dc9e4e4-a892-4dd4-98b1-865ac25722b7"/>
    <ds:schemaRef ds:uri="1ac0bed1-a651-4ab3-addc-eea8d667dad6"/>
    <ds:schemaRef ds:uri="http://purl.org/dc/elements/1.1/"/>
    <ds:schemaRef ds:uri="http://schemas.openxmlformats.org/package/2006/metadata/core-properties"/>
  </ds:schemaRefs>
</ds:datastoreItem>
</file>

<file path=customXml/itemProps3.xml><?xml version="1.0" encoding="utf-8"?>
<ds:datastoreItem xmlns:ds="http://schemas.openxmlformats.org/officeDocument/2006/customXml" ds:itemID="{6BB5A376-4C4C-49FB-8C19-4C7409821B2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ac0bed1-a651-4ab3-addc-eea8d667dad6"/>
    <ds:schemaRef ds:uri="0dc9e4e4-a892-4dd4-98b1-865ac25722b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15ce9348-be2a-462b-8fc0-e1765a9b204a}" enabled="0" method="" siteId="{15ce9348-be2a-462b-8fc0-e1765a9b204a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TSR &amp; Moment Matrix</vt:lpstr>
      <vt:lpstr>Find M_idle coefficient, "a"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#ZHANG YIXIAO#</dc:creator>
  <cp:keywords/>
  <dc:description/>
  <cp:lastModifiedBy>#ZHANG YIXIAO#</cp:lastModifiedBy>
  <cp:revision/>
  <dcterms:created xsi:type="dcterms:W3CDTF">2025-02-27T07:53:21Z</dcterms:created>
  <dcterms:modified xsi:type="dcterms:W3CDTF">2025-05-11T10:05:23Z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0x0101008711DED9B91BE44C8013A26A1E06FDA2</vt:lpwstr>
  </property>
</Properties>
</file>