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ygon Zhang\OneDrive\桌面\StarCCM_力矩平衡模型\Nature Energy\"/>
    </mc:Choice>
  </mc:AlternateContent>
  <xr:revisionPtr revIDLastSave="0" documentId="13_ncr:1_{2AF3A59F-815C-414E-8D39-CC05A3205A90}" xr6:coauthVersionLast="47" xr6:coauthVersionMax="47" xr10:uidLastSave="{00000000-0000-0000-0000-000000000000}"/>
  <bookViews>
    <workbookView xWindow="-110" yWindow="-110" windowWidth="25820" windowHeight="15500" activeTab="1" xr2:uid="{171F840B-833F-4C83-BAA4-739AA4BB4FD2}"/>
  </bookViews>
  <sheets>
    <sheet name="Blade element geometry 8.5m" sheetId="8" r:id="rId1"/>
    <sheet name="w=1.000 (w tiploss)" sheetId="2" r:id="rId2"/>
    <sheet name="w=1.260" sheetId="10" r:id="rId3"/>
    <sheet name="w=1.335" sheetId="11" r:id="rId4"/>
    <sheet name="Summary of 3 calculation points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8" l="1"/>
  <c r="D5" i="8"/>
  <c r="D6" i="8"/>
  <c r="D7" i="8"/>
  <c r="D8" i="8"/>
  <c r="D9" i="8"/>
  <c r="D10" i="8"/>
  <c r="D11" i="8"/>
  <c r="D12" i="8"/>
  <c r="D13" i="8"/>
  <c r="D3" i="8"/>
  <c r="B4" i="8"/>
  <c r="B5" i="8"/>
  <c r="B6" i="8"/>
  <c r="B7" i="8"/>
  <c r="B8" i="8"/>
  <c r="B9" i="8"/>
  <c r="B10" i="8"/>
  <c r="B11" i="8"/>
  <c r="B12" i="8"/>
  <c r="B13" i="8"/>
  <c r="B3" i="8"/>
  <c r="Q14" i="11" l="1"/>
  <c r="P14" i="11"/>
  <c r="Q15" i="11"/>
  <c r="P15" i="11"/>
  <c r="Y6" i="11"/>
  <c r="Y7" i="11"/>
  <c r="Y8" i="11"/>
  <c r="Y9" i="11"/>
  <c r="Y10" i="11"/>
  <c r="Y11" i="11"/>
  <c r="Y12" i="11"/>
  <c r="Y13" i="11"/>
  <c r="Y5" i="11"/>
  <c r="X6" i="11"/>
  <c r="X7" i="11"/>
  <c r="X8" i="11"/>
  <c r="X9" i="11"/>
  <c r="X10" i="11"/>
  <c r="X11" i="11"/>
  <c r="X12" i="11"/>
  <c r="X13" i="11"/>
  <c r="X5" i="11"/>
  <c r="W6" i="11"/>
  <c r="W7" i="11"/>
  <c r="W8" i="11"/>
  <c r="W9" i="11"/>
  <c r="W10" i="11"/>
  <c r="W11" i="11"/>
  <c r="W12" i="11"/>
  <c r="W13" i="11"/>
  <c r="W14" i="11"/>
  <c r="W15" i="11"/>
  <c r="W5" i="11"/>
  <c r="V6" i="11"/>
  <c r="V7" i="11"/>
  <c r="V8" i="11"/>
  <c r="V9" i="11"/>
  <c r="V10" i="11"/>
  <c r="V11" i="11"/>
  <c r="V12" i="11"/>
  <c r="V13" i="11"/>
  <c r="V14" i="11"/>
  <c r="V15" i="11"/>
  <c r="V5" i="11"/>
  <c r="O23" i="11"/>
  <c r="O22" i="11"/>
  <c r="O21" i="11"/>
  <c r="Q6" i="11"/>
  <c r="Q7" i="11"/>
  <c r="Q8" i="11"/>
  <c r="Q9" i="11"/>
  <c r="Q10" i="11"/>
  <c r="Q11" i="11"/>
  <c r="Q12" i="11"/>
  <c r="Q13" i="11"/>
  <c r="Q5" i="11"/>
  <c r="P6" i="11"/>
  <c r="P7" i="11"/>
  <c r="P8" i="11"/>
  <c r="P9" i="11"/>
  <c r="P10" i="11"/>
  <c r="P11" i="11"/>
  <c r="P12" i="11"/>
  <c r="P13" i="11"/>
  <c r="P5" i="11"/>
  <c r="Q44" i="11"/>
  <c r="AB25" i="11" s="1"/>
  <c r="O44" i="11"/>
  <c r="O43" i="11"/>
  <c r="Q42" i="11"/>
  <c r="O42" i="11"/>
  <c r="O41" i="11"/>
  <c r="Q40" i="11"/>
  <c r="O40" i="11"/>
  <c r="O39" i="11"/>
  <c r="O38" i="11"/>
  <c r="O37" i="11"/>
  <c r="O36" i="11"/>
  <c r="O35" i="11"/>
  <c r="O34" i="11"/>
  <c r="S30" i="11"/>
  <c r="O30" i="11"/>
  <c r="AB29" i="11"/>
  <c r="S29" i="11"/>
  <c r="O29" i="11"/>
  <c r="AB28" i="11"/>
  <c r="S28" i="11"/>
  <c r="O28" i="11"/>
  <c r="AB27" i="11"/>
  <c r="S27" i="11"/>
  <c r="O27" i="11"/>
  <c r="AB26" i="11"/>
  <c r="S26" i="11"/>
  <c r="O26" i="11"/>
  <c r="S25" i="11"/>
  <c r="O25" i="11"/>
  <c r="AB24" i="11"/>
  <c r="S24" i="11"/>
  <c r="O24" i="11"/>
  <c r="AB23" i="11"/>
  <c r="S23" i="11"/>
  <c r="AB22" i="11"/>
  <c r="S22" i="11"/>
  <c r="AB21" i="11"/>
  <c r="S21" i="11"/>
  <c r="AB20" i="11"/>
  <c r="S20" i="11"/>
  <c r="O20" i="11"/>
  <c r="G15" i="11"/>
  <c r="G14" i="11"/>
  <c r="G13" i="11"/>
  <c r="G12" i="11"/>
  <c r="G11" i="11"/>
  <c r="G10" i="11"/>
  <c r="S9" i="11"/>
  <c r="T9" i="11" s="1"/>
  <c r="U9" i="11" s="1"/>
  <c r="G9" i="11"/>
  <c r="G8" i="11"/>
  <c r="G7" i="11"/>
  <c r="G6" i="11"/>
  <c r="G5" i="11"/>
  <c r="Q6" i="10"/>
  <c r="Q7" i="10"/>
  <c r="Q8" i="10"/>
  <c r="Q9" i="10"/>
  <c r="Q10" i="10"/>
  <c r="Q11" i="10"/>
  <c r="Q12" i="10"/>
  <c r="Q13" i="10"/>
  <c r="Q14" i="10"/>
  <c r="Q15" i="10"/>
  <c r="Q5" i="10"/>
  <c r="P6" i="10"/>
  <c r="P7" i="10"/>
  <c r="P8" i="10"/>
  <c r="P9" i="10"/>
  <c r="P10" i="10"/>
  <c r="P11" i="10"/>
  <c r="P12" i="10"/>
  <c r="P13" i="10"/>
  <c r="P14" i="10"/>
  <c r="P15" i="10"/>
  <c r="P5" i="10"/>
  <c r="S10" i="10"/>
  <c r="T10" i="10" s="1"/>
  <c r="U10" i="10" s="1"/>
  <c r="S12" i="10"/>
  <c r="T12" i="10" s="1"/>
  <c r="U12" i="10" s="1"/>
  <c r="Q44" i="10"/>
  <c r="AB27" i="10" s="1"/>
  <c r="O44" i="10"/>
  <c r="O43" i="10"/>
  <c r="Q42" i="10"/>
  <c r="O42" i="10"/>
  <c r="O41" i="10"/>
  <c r="Q40" i="10"/>
  <c r="O40" i="10"/>
  <c r="O39" i="10"/>
  <c r="O38" i="10"/>
  <c r="O37" i="10"/>
  <c r="O36" i="10"/>
  <c r="O35" i="10"/>
  <c r="O34" i="10"/>
  <c r="AB30" i="10"/>
  <c r="S30" i="10"/>
  <c r="O30" i="10"/>
  <c r="AB29" i="10"/>
  <c r="S29" i="10"/>
  <c r="O29" i="10"/>
  <c r="AB28" i="10"/>
  <c r="S28" i="10"/>
  <c r="O28" i="10"/>
  <c r="S27" i="10"/>
  <c r="O27" i="10"/>
  <c r="AB26" i="10"/>
  <c r="S26" i="10"/>
  <c r="O26" i="10"/>
  <c r="AB25" i="10"/>
  <c r="S25" i="10"/>
  <c r="O25" i="10"/>
  <c r="AB24" i="10"/>
  <c r="S24" i="10"/>
  <c r="O24" i="10"/>
  <c r="AB23" i="10"/>
  <c r="S23" i="10"/>
  <c r="O23" i="10"/>
  <c r="AB22" i="10"/>
  <c r="S22" i="10"/>
  <c r="O22" i="10"/>
  <c r="AB21" i="10"/>
  <c r="S21" i="10"/>
  <c r="O21" i="10"/>
  <c r="AB20" i="10"/>
  <c r="S20" i="10"/>
  <c r="O20" i="10"/>
  <c r="G15" i="10"/>
  <c r="G14" i="10"/>
  <c r="G13" i="10"/>
  <c r="G12" i="10"/>
  <c r="G11" i="10"/>
  <c r="G10" i="10"/>
  <c r="G9" i="10"/>
  <c r="G8" i="10"/>
  <c r="G7" i="10"/>
  <c r="S6" i="10"/>
  <c r="T6" i="10" s="1"/>
  <c r="U6" i="10" s="1"/>
  <c r="G6" i="10"/>
  <c r="S5" i="10"/>
  <c r="T5" i="10" s="1"/>
  <c r="U5" i="10" s="1"/>
  <c r="G5" i="10"/>
  <c r="S14" i="11" l="1"/>
  <c r="T14" i="11" s="1"/>
  <c r="U14" i="11"/>
  <c r="Y14" i="11"/>
  <c r="X14" i="11"/>
  <c r="R10" i="11"/>
  <c r="S6" i="11"/>
  <c r="T6" i="11" s="1"/>
  <c r="U6" i="11" s="1"/>
  <c r="S15" i="11"/>
  <c r="T15" i="11" s="1"/>
  <c r="S7" i="11"/>
  <c r="T7" i="11" s="1"/>
  <c r="U7" i="11" s="1"/>
  <c r="S8" i="11"/>
  <c r="T8" i="11" s="1"/>
  <c r="U8" i="11" s="1"/>
  <c r="S13" i="11"/>
  <c r="T13" i="11" s="1"/>
  <c r="U13" i="11" s="1"/>
  <c r="R11" i="11"/>
  <c r="S12" i="11"/>
  <c r="T12" i="11" s="1"/>
  <c r="U12" i="11" s="1"/>
  <c r="S5" i="11"/>
  <c r="T5" i="11" s="1"/>
  <c r="U5" i="11" s="1"/>
  <c r="R13" i="11"/>
  <c r="R5" i="11"/>
  <c r="R12" i="11"/>
  <c r="R9" i="11"/>
  <c r="AB30" i="11"/>
  <c r="R14" i="11"/>
  <c r="S11" i="11"/>
  <c r="T11" i="11" s="1"/>
  <c r="U11" i="11" s="1"/>
  <c r="R6" i="11"/>
  <c r="S10" i="11"/>
  <c r="T10" i="11" s="1"/>
  <c r="U10" i="11" s="1"/>
  <c r="R7" i="11"/>
  <c r="R8" i="11"/>
  <c r="R15" i="11"/>
  <c r="S14" i="10"/>
  <c r="T14" i="10" s="1"/>
  <c r="U14" i="10" s="1"/>
  <c r="S13" i="10"/>
  <c r="T13" i="10" s="1"/>
  <c r="U13" i="10" s="1"/>
  <c r="S7" i="10"/>
  <c r="T7" i="10" s="1"/>
  <c r="U7" i="10" s="1"/>
  <c r="S9" i="10"/>
  <c r="T9" i="10" s="1"/>
  <c r="U9" i="10" s="1"/>
  <c r="R9" i="10"/>
  <c r="S11" i="10"/>
  <c r="T11" i="10" s="1"/>
  <c r="U11" i="10" s="1"/>
  <c r="S8" i="10"/>
  <c r="T8" i="10" s="1"/>
  <c r="U8" i="10" s="1"/>
  <c r="S15" i="10"/>
  <c r="T15" i="10" s="1"/>
  <c r="U15" i="10" s="1"/>
  <c r="R6" i="10"/>
  <c r="R13" i="10"/>
  <c r="R10" i="10"/>
  <c r="R7" i="10"/>
  <c r="R14" i="10"/>
  <c r="R11" i="10"/>
  <c r="R8" i="10"/>
  <c r="R15" i="10"/>
  <c r="R5" i="10"/>
  <c r="R12" i="10"/>
  <c r="U15" i="11" l="1"/>
  <c r="Y15" i="11"/>
  <c r="X15" i="11"/>
  <c r="W6" i="2" l="1"/>
  <c r="X6" i="2"/>
  <c r="Y6" i="2"/>
  <c r="W7" i="2"/>
  <c r="X7" i="2"/>
  <c r="Y7" i="2"/>
  <c r="W8" i="2"/>
  <c r="X8" i="2"/>
  <c r="Y8" i="2"/>
  <c r="W9" i="2"/>
  <c r="X9" i="2"/>
  <c r="Y9" i="2"/>
  <c r="W10" i="2"/>
  <c r="X10" i="2"/>
  <c r="Y10" i="2"/>
  <c r="W11" i="2"/>
  <c r="X11" i="2"/>
  <c r="Y11" i="2"/>
  <c r="W12" i="2"/>
  <c r="X12" i="2"/>
  <c r="Y12" i="2"/>
  <c r="W13" i="2"/>
  <c r="X13" i="2"/>
  <c r="Y13" i="2"/>
  <c r="W14" i="2"/>
  <c r="X14" i="2"/>
  <c r="Y14" i="2"/>
  <c r="W15" i="2"/>
  <c r="X15" i="2"/>
  <c r="Y15" i="2"/>
  <c r="X5" i="2"/>
  <c r="Y5" i="2"/>
  <c r="W5" i="2"/>
  <c r="V6" i="2"/>
  <c r="V7" i="2"/>
  <c r="V8" i="2"/>
  <c r="V9" i="2"/>
  <c r="V10" i="2"/>
  <c r="V11" i="2"/>
  <c r="V12" i="2"/>
  <c r="V13" i="2"/>
  <c r="V14" i="2"/>
  <c r="V15" i="2"/>
  <c r="V5" i="2"/>
  <c r="O35" i="2" l="1"/>
  <c r="Q43" i="2"/>
  <c r="Q41" i="2"/>
  <c r="S22" i="2" l="1"/>
  <c r="S23" i="2"/>
  <c r="S24" i="2"/>
  <c r="S25" i="2"/>
  <c r="S26" i="2"/>
  <c r="S27" i="2"/>
  <c r="S28" i="2"/>
  <c r="S29" i="2"/>
  <c r="S30" i="2"/>
  <c r="S31" i="2"/>
  <c r="S21" i="2"/>
  <c r="O21" i="2"/>
  <c r="P15" i="2"/>
  <c r="Q15" i="2"/>
  <c r="S16" i="2" l="1"/>
  <c r="S15" i="2" l="1"/>
  <c r="O31" i="2" l="1"/>
  <c r="O45" i="2"/>
  <c r="O30" i="2"/>
  <c r="O44" i="2"/>
  <c r="O29" i="2"/>
  <c r="O43" i="2"/>
  <c r="O28" i="2"/>
  <c r="O42" i="2"/>
  <c r="O27" i="2"/>
  <c r="O41" i="2"/>
  <c r="O26" i="2"/>
  <c r="O40" i="2"/>
  <c r="O25" i="2"/>
  <c r="O39" i="2"/>
  <c r="O24" i="2"/>
  <c r="O38" i="2"/>
  <c r="O23" i="2"/>
  <c r="O37" i="2"/>
  <c r="O22" i="2"/>
  <c r="O36" i="2"/>
  <c r="Q45" i="2"/>
  <c r="AA25" i="2" s="1"/>
  <c r="G15" i="2"/>
  <c r="G14" i="2"/>
  <c r="G13" i="2"/>
  <c r="G12" i="2"/>
  <c r="G11" i="2"/>
  <c r="G10" i="2"/>
  <c r="G9" i="2"/>
  <c r="G8" i="2"/>
  <c r="G7" i="2"/>
  <c r="G6" i="2"/>
  <c r="G5" i="2"/>
  <c r="AA26" i="2" l="1"/>
  <c r="AA27" i="2"/>
  <c r="AA28" i="2"/>
  <c r="AA21" i="2"/>
  <c r="AA30" i="2"/>
  <c r="AA31" i="2"/>
  <c r="AA24" i="2"/>
  <c r="AA29" i="2"/>
  <c r="AA22" i="2"/>
  <c r="AA23" i="2"/>
</calcChain>
</file>

<file path=xl/sharedStrings.xml><?xml version="1.0" encoding="utf-8"?>
<sst xmlns="http://schemas.openxmlformats.org/spreadsheetml/2006/main" count="268" uniqueCount="100">
  <si>
    <t>Re</t>
  </si>
  <si>
    <t>ρ</t>
  </si>
  <si>
    <t>μ ( Pa-s)</t>
  </si>
  <si>
    <t>d (chord)</t>
  </si>
  <si>
    <t>θ</t>
  </si>
  <si>
    <t>Ncrit</t>
  </si>
  <si>
    <t>CL</t>
  </si>
  <si>
    <t>CD</t>
  </si>
  <si>
    <t>CM</t>
  </si>
  <si>
    <t>L/D</t>
  </si>
  <si>
    <t>radii</t>
  </si>
  <si>
    <t>a</t>
  </si>
  <si>
    <t>a'</t>
  </si>
  <si>
    <t>a_corr</t>
  </si>
  <si>
    <t>a'_corr</t>
  </si>
  <si>
    <t>F_tiploss</t>
  </si>
  <si>
    <t>(1-a)U_infnty</t>
  </si>
  <si>
    <t>(1+a')wr</t>
  </si>
  <si>
    <t>Urel</t>
  </si>
  <si>
    <t>tan(phi)</t>
  </si>
  <si>
    <t>phi</t>
  </si>
  <si>
    <t>phi-twist</t>
  </si>
  <si>
    <t>lift</t>
  </si>
  <si>
    <t>drag</t>
  </si>
  <si>
    <t>Ft</t>
  </si>
  <si>
    <t>Cn</t>
  </si>
  <si>
    <t>Ct</t>
  </si>
  <si>
    <t>Re Calculator</t>
  </si>
  <si>
    <t>Re*</t>
  </si>
  <si>
    <t>U0=2</t>
  </si>
  <si>
    <t>twist</t>
  </si>
  <si>
    <t>CL*</t>
  </si>
  <si>
    <t>CD*</t>
  </si>
  <si>
    <t>Element No</t>
  </si>
  <si>
    <t>8.5m</t>
  </si>
  <si>
    <t>BEM output:</t>
  </si>
  <si>
    <t>Xfoil Output:</t>
  </si>
  <si>
    <t>a_new = 1 / (1 + F * (4 * math.sin(phi)**2) / (sigma * Cn))</t>
  </si>
  <si>
    <t>a_prime_new = 1 / (F * (4 * math.sin(phi) * math.cos(phi) / (sigma * Ct)) - 1)</t>
  </si>
  <si>
    <t>w</t>
  </si>
  <si>
    <r>
      <t>U</t>
    </r>
    <r>
      <rPr>
        <b/>
        <sz val="10"/>
        <color theme="1"/>
        <rFont val="等线"/>
        <charset val="134"/>
        <scheme val="minor"/>
      </rPr>
      <t>∞</t>
    </r>
  </si>
  <si>
    <t>δr</t>
  </si>
  <si>
    <t>δchord</t>
  </si>
  <si>
    <t>Fn/N</t>
  </si>
  <si>
    <t>CM*</t>
  </si>
  <si>
    <t>R=0.55</t>
  </si>
  <si>
    <t>R*=8.5</t>
  </si>
  <si>
    <t>d* (chord)</t>
  </si>
  <si>
    <t>Scale Factor</t>
  </si>
  <si>
    <t>Xfoil重新输入output：</t>
  </si>
  <si>
    <t>theta=0</t>
  </si>
  <si>
    <r>
      <t>Re</t>
    </r>
    <r>
      <rPr>
        <sz val="11"/>
        <color theme="1"/>
        <rFont val="等线"/>
        <charset val="134"/>
        <scheme val="minor"/>
      </rPr>
      <t>=ρUd/μ:</t>
    </r>
  </si>
  <si>
    <t>R</t>
  </si>
  <si>
    <t>wr=8.5*1</t>
  </si>
  <si>
    <t>(1-a_corr)U_infnty</t>
  </si>
  <si>
    <t>(1+a'_corr)wr</t>
  </si>
  <si>
    <t>Fn/kN</t>
  </si>
  <si>
    <t>t/c (%)</t>
  </si>
  <si>
    <t>r (m)</t>
  </si>
  <si>
    <t>Radius</t>
  </si>
  <si>
    <t>Fnormal/kN</t>
  </si>
  <si>
    <t>Element</t>
  </si>
  <si>
    <t>Twist distribution</t>
  </si>
  <si>
    <t>r/R (%)</t>
  </si>
  <si>
    <t>chord</t>
  </si>
  <si>
    <t>c/R (%)</t>
  </si>
  <si>
    <t>Parameter</t>
  </si>
  <si>
    <t>Value</t>
  </si>
  <si>
    <t>Rated power</t>
  </si>
  <si>
    <t>Rated flow velocity</t>
  </si>
  <si>
    <t xml:space="preserve">Rated rotational spped </t>
  </si>
  <si>
    <t>Optimal TSR</t>
  </si>
  <si>
    <t>Starting flow velocity</t>
  </si>
  <si>
    <t>Total Cp</t>
  </si>
  <si>
    <t>≥30%</t>
  </si>
  <si>
    <t>8°</t>
  </si>
  <si>
    <t>Max pitch angle</t>
  </si>
  <si>
    <t>300kW</t>
  </si>
  <si>
    <t>2 m/s</t>
  </si>
  <si>
    <t>0.7 m/s</t>
  </si>
  <si>
    <t>12 rpm</t>
  </si>
  <si>
    <t>R (m)</t>
  </si>
  <si>
    <t>ρ (kg/m-3</t>
  </si>
  <si>
    <r>
      <t>U</t>
    </r>
    <r>
      <rPr>
        <b/>
        <sz val="10"/>
        <color theme="1"/>
        <rFont val="等线"/>
        <charset val="134"/>
        <scheme val="minor"/>
      </rPr>
      <t>∞</t>
    </r>
    <r>
      <rPr>
        <b/>
        <sz val="11"/>
        <color theme="1"/>
        <rFont val="等线"/>
        <charset val="134"/>
        <scheme val="minor"/>
      </rPr>
      <t xml:space="preserve"> (m/s)</t>
    </r>
  </si>
  <si>
    <t>w = 1.000 (rad/s)</t>
  </si>
  <si>
    <t>φ-θ</t>
  </si>
  <si>
    <t>acorr</t>
  </si>
  <si>
    <t>a' corr</t>
  </si>
  <si>
    <t>w=1.000
(rad/s)</t>
  </si>
  <si>
    <t>w=1.335
(rad/s)</t>
  </si>
  <si>
    <t>w=1.260
(rad/s)</t>
  </si>
  <si>
    <t xml:space="preserve">Benchmarked turbine configuration Yang et al. </t>
  </si>
  <si>
    <t>wr=8.5*1.260</t>
  </si>
  <si>
    <t>wr=8.5*1.335</t>
  </si>
  <si>
    <t>Xfoil 2nd output</t>
  </si>
  <si>
    <t xml:space="preserve"> No Xfoil 2nd correction:</t>
  </si>
  <si>
    <t>Xfoil 1st Output:</t>
  </si>
  <si>
    <t>8.5m 3D turbine 2nd input to Xfoil</t>
  </si>
  <si>
    <t>Xfoil 2nd output (for FX-BEMS iteration)</t>
  </si>
  <si>
    <t>Screenshot of Xfoil outputs: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</si>
</sst>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00"/>
    <numFmt numFmtId="168" formatCode="0.0"/>
    <numFmt numFmtId="173" formatCode="0.0%"/>
  </numFmts>
  <fonts count="18" x14ac:knownFonts="1">
    <font>
      <sz val="11"/>
      <color theme="1"/>
      <name val="等线"/>
      <family val="2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0070C0"/>
      <name val="等线"/>
      <charset val="134"/>
      <scheme val="minor"/>
    </font>
    <font>
      <sz val="11"/>
      <name val="等线"/>
      <family val="2"/>
      <scheme val="minor"/>
    </font>
    <font>
      <b/>
      <sz val="9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1"/>
      <color rgb="FF92D050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2" tint="-9.9978637043366805E-2"/>
      <name val="等线"/>
      <charset val="134"/>
      <scheme val="minor"/>
    </font>
    <font>
      <sz val="11"/>
      <color theme="2" tint="-9.9978637043366805E-2"/>
      <name val="等线"/>
      <charset val="134"/>
      <scheme val="minor"/>
    </font>
    <font>
      <b/>
      <sz val="11"/>
      <name val="等线"/>
      <charset val="134"/>
      <scheme val="minor"/>
    </font>
    <font>
      <sz val="11"/>
      <name val="等线"/>
      <charset val="134"/>
      <scheme val="minor"/>
    </font>
    <font>
      <sz val="11"/>
      <color theme="0" tint="-0.34998626667073579"/>
      <name val="等线"/>
      <charset val="134"/>
      <scheme val="minor"/>
    </font>
    <font>
      <sz val="11"/>
      <color theme="0" tint="-0.34998626667073579"/>
      <name val="等线"/>
      <family val="2"/>
      <scheme val="minor"/>
    </font>
    <font>
      <b/>
      <sz val="11"/>
      <color theme="1"/>
      <name val="等线"/>
      <charset val="134"/>
    </font>
    <font>
      <b/>
      <sz val="11"/>
      <color theme="2" tint="-0.249977111117893"/>
      <name val="等线"/>
      <charset val="134"/>
      <scheme val="minor"/>
    </font>
    <font>
      <sz val="11"/>
      <color theme="2" tint="-0.249977111117893"/>
      <name val="等线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2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0" fillId="0" borderId="11" xfId="0" applyBorder="1"/>
    <xf numFmtId="0" fontId="0" fillId="0" borderId="14" xfId="0" applyBorder="1"/>
    <xf numFmtId="164" fontId="0" fillId="0" borderId="15" xfId="0" applyNumberFormat="1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 vertical="center"/>
    </xf>
    <xf numFmtId="0" fontId="0" fillId="0" borderId="19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2" fillId="0" borderId="13" xfId="0" applyFont="1" applyBorder="1" applyAlignment="1">
      <alignment horizontal="center" vertical="center"/>
    </xf>
    <xf numFmtId="11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166" fontId="0" fillId="0" borderId="0" xfId="0" applyNumberFormat="1" applyAlignment="1">
      <alignment horizontal="right"/>
    </xf>
    <xf numFmtId="166" fontId="4" fillId="0" borderId="15" xfId="0" applyNumberFormat="1" applyFont="1" applyBorder="1"/>
    <xf numFmtId="166" fontId="0" fillId="0" borderId="15" xfId="0" applyNumberFormat="1" applyBorder="1" applyAlignment="1">
      <alignment horizontal="right"/>
    </xf>
    <xf numFmtId="0" fontId="2" fillId="0" borderId="0" xfId="0" applyFont="1"/>
    <xf numFmtId="0" fontId="2" fillId="0" borderId="1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8" fontId="7" fillId="0" borderId="5" xfId="0" applyNumberFormat="1" applyFont="1" applyBorder="1"/>
    <xf numFmtId="168" fontId="7" fillId="0" borderId="18" xfId="0" applyNumberFormat="1" applyFont="1" applyBorder="1"/>
    <xf numFmtId="168" fontId="7" fillId="0" borderId="0" xfId="0" applyNumberFormat="1" applyFont="1"/>
    <xf numFmtId="168" fontId="7" fillId="0" borderId="15" xfId="0" applyNumberFormat="1" applyFont="1" applyBorder="1"/>
    <xf numFmtId="0" fontId="2" fillId="0" borderId="5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12" xfId="0" applyFont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15" xfId="0" applyNumberForma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164" fontId="0" fillId="2" borderId="19" xfId="0" applyNumberFormat="1" applyFill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11" fontId="0" fillId="3" borderId="0" xfId="0" applyNumberFormat="1" applyFill="1" applyAlignment="1">
      <alignment horizontal="center"/>
    </xf>
    <xf numFmtId="11" fontId="0" fillId="3" borderId="15" xfId="0" applyNumberFormat="1" applyFill="1" applyBorder="1" applyAlignment="1">
      <alignment horizontal="center"/>
    </xf>
    <xf numFmtId="0" fontId="2" fillId="4" borderId="24" xfId="0" applyFont="1" applyFill="1" applyBorder="1" applyAlignment="1">
      <alignment horizontal="center" vertical="center"/>
    </xf>
    <xf numFmtId="2" fontId="0" fillId="4" borderId="25" xfId="0" applyNumberFormat="1" applyFill="1" applyBorder="1" applyAlignment="1">
      <alignment horizontal="center"/>
    </xf>
    <xf numFmtId="2" fontId="0" fillId="4" borderId="26" xfId="0" applyNumberForma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15" xfId="0" applyNumberFormat="1" applyFill="1" applyBorder="1" applyAlignment="1">
      <alignment horizontal="center"/>
    </xf>
    <xf numFmtId="0" fontId="2" fillId="5" borderId="6" xfId="0" applyFont="1" applyFill="1" applyBorder="1" applyAlignment="1">
      <alignment horizontal="center" vertical="center"/>
    </xf>
    <xf numFmtId="164" fontId="0" fillId="5" borderId="7" xfId="0" applyNumberFormat="1" applyFill="1" applyBorder="1" applyAlignment="1">
      <alignment horizontal="center" vertical="center"/>
    </xf>
    <xf numFmtId="164" fontId="0" fillId="5" borderId="16" xfId="0" applyNumberFormat="1" applyFill="1" applyBorder="1" applyAlignment="1">
      <alignment horizontal="center"/>
    </xf>
    <xf numFmtId="0" fontId="2" fillId="5" borderId="27" xfId="0" applyFont="1" applyFill="1" applyBorder="1" applyAlignment="1">
      <alignment horizontal="center"/>
    </xf>
    <xf numFmtId="164" fontId="0" fillId="5" borderId="27" xfId="0" applyNumberFormat="1" applyFill="1" applyBorder="1" applyAlignment="1">
      <alignment horizontal="center"/>
    </xf>
    <xf numFmtId="164" fontId="0" fillId="5" borderId="28" xfId="0" applyNumberForma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2" fontId="1" fillId="4" borderId="7" xfId="0" applyNumberFormat="1" applyFon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0" fillId="4" borderId="16" xfId="0" applyNumberFormat="1" applyFill="1" applyBorder="1" applyAlignment="1">
      <alignment horizontal="center"/>
    </xf>
    <xf numFmtId="165" fontId="0" fillId="5" borderId="27" xfId="0" applyNumberForma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166" fontId="10" fillId="0" borderId="0" xfId="0" applyNumberFormat="1" applyFont="1"/>
    <xf numFmtId="166" fontId="10" fillId="0" borderId="15" xfId="0" applyNumberFormat="1" applyFont="1" applyBorder="1"/>
    <xf numFmtId="11" fontId="1" fillId="6" borderId="5" xfId="0" applyNumberFormat="1" applyFont="1" applyFill="1" applyBorder="1" applyAlignment="1">
      <alignment horizontal="center"/>
    </xf>
    <xf numFmtId="11" fontId="0" fillId="6" borderId="5" xfId="0" applyNumberFormat="1" applyFill="1" applyBorder="1" applyAlignment="1">
      <alignment horizontal="center"/>
    </xf>
    <xf numFmtId="11" fontId="0" fillId="6" borderId="18" xfId="0" applyNumberForma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3" borderId="0" xfId="0" applyFont="1" applyFill="1" applyAlignment="1">
      <alignment horizontal="center" vertical="center"/>
    </xf>
    <xf numFmtId="165" fontId="0" fillId="5" borderId="7" xfId="0" applyNumberFormat="1" applyFill="1" applyBorder="1" applyAlignment="1">
      <alignment horizontal="center"/>
    </xf>
    <xf numFmtId="165" fontId="0" fillId="5" borderId="16" xfId="0" applyNumberForma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165" fontId="12" fillId="0" borderId="0" xfId="0" applyNumberFormat="1" applyFont="1" applyAlignment="1">
      <alignment horizontal="right" vertical="center"/>
    </xf>
    <xf numFmtId="165" fontId="12" fillId="0" borderId="15" xfId="0" applyNumberFormat="1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164" fontId="0" fillId="0" borderId="15" xfId="0" applyNumberFormat="1" applyBorder="1" applyAlignment="1">
      <alignment horizontal="center" vertical="center"/>
    </xf>
    <xf numFmtId="11" fontId="0" fillId="6" borderId="15" xfId="0" applyNumberFormat="1" applyFill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2" fontId="1" fillId="0" borderId="15" xfId="0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/>
    </xf>
    <xf numFmtId="164" fontId="2" fillId="4" borderId="17" xfId="0" applyNumberFormat="1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165" fontId="0" fillId="7" borderId="0" xfId="0" applyNumberFormat="1" applyFill="1" applyAlignment="1">
      <alignment horizontal="center"/>
    </xf>
    <xf numFmtId="165" fontId="1" fillId="7" borderId="0" xfId="0" applyNumberFormat="1" applyFont="1" applyFill="1" applyAlignment="1">
      <alignment horizontal="center"/>
    </xf>
    <xf numFmtId="0" fontId="0" fillId="7" borderId="15" xfId="0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166" fontId="1" fillId="7" borderId="0" xfId="0" applyNumberFormat="1" applyFont="1" applyFill="1" applyAlignment="1">
      <alignment horizontal="center"/>
    </xf>
    <xf numFmtId="166" fontId="0" fillId="7" borderId="15" xfId="0" applyNumberFormat="1" applyFill="1" applyBorder="1" applyAlignment="1">
      <alignment horizontal="center"/>
    </xf>
    <xf numFmtId="166" fontId="12" fillId="0" borderId="0" xfId="0" applyNumberFormat="1" applyFont="1"/>
    <xf numFmtId="166" fontId="12" fillId="0" borderId="15" xfId="0" applyNumberFormat="1" applyFont="1" applyBorder="1"/>
    <xf numFmtId="166" fontId="0" fillId="0" borderId="0" xfId="0" quotePrefix="1" applyNumberFormat="1"/>
    <xf numFmtId="165" fontId="0" fillId="0" borderId="0" xfId="0" quotePrefix="1" applyNumberFormat="1"/>
    <xf numFmtId="166" fontId="0" fillId="0" borderId="15" xfId="0" quotePrefix="1" applyNumberFormat="1" applyBorder="1"/>
    <xf numFmtId="166" fontId="13" fillId="0" borderId="0" xfId="0" quotePrefix="1" applyNumberFormat="1" applyFont="1"/>
    <xf numFmtId="166" fontId="13" fillId="0" borderId="0" xfId="0" applyNumberFormat="1" applyFont="1"/>
    <xf numFmtId="166" fontId="14" fillId="0" borderId="0" xfId="0" quotePrefix="1" applyNumberFormat="1" applyFont="1"/>
    <xf numFmtId="2" fontId="0" fillId="0" borderId="0" xfId="0" applyNumberFormat="1"/>
    <xf numFmtId="173" fontId="0" fillId="0" borderId="0" xfId="1" applyNumberFormat="1" applyFont="1"/>
    <xf numFmtId="9" fontId="0" fillId="0" borderId="0" xfId="1" applyFont="1"/>
    <xf numFmtId="164" fontId="1" fillId="0" borderId="0" xfId="0" applyNumberFormat="1" applyFont="1" applyAlignment="1">
      <alignment horizontal="center"/>
    </xf>
    <xf numFmtId="11" fontId="1" fillId="0" borderId="0" xfId="0" applyNumberFormat="1" applyFont="1"/>
    <xf numFmtId="11" fontId="1" fillId="0" borderId="0" xfId="0" applyNumberFormat="1" applyFont="1" applyAlignment="1">
      <alignment horizontal="center"/>
    </xf>
    <xf numFmtId="0" fontId="2" fillId="0" borderId="21" xfId="0" applyFont="1" applyBorder="1" applyAlignment="1">
      <alignment horizontal="center"/>
    </xf>
    <xf numFmtId="11" fontId="0" fillId="0" borderId="0" xfId="0" applyNumberFormat="1"/>
    <xf numFmtId="11" fontId="2" fillId="0" borderId="0" xfId="0" applyNumberFormat="1" applyFont="1"/>
    <xf numFmtId="164" fontId="0" fillId="5" borderId="7" xfId="0" applyNumberFormat="1" applyFill="1" applyBorder="1" applyAlignment="1">
      <alignment horizontal="center"/>
    </xf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15" xfId="0" quotePrefix="1" applyNumberFormat="1" applyBorder="1"/>
    <xf numFmtId="0" fontId="2" fillId="0" borderId="2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7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166" fontId="1" fillId="7" borderId="0" xfId="0" applyNumberFormat="1" applyFont="1" applyFill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0" fontId="0" fillId="7" borderId="0" xfId="0" applyFill="1" applyBorder="1" applyAlignment="1">
      <alignment horizontal="center"/>
    </xf>
    <xf numFmtId="165" fontId="0" fillId="7" borderId="0" xfId="0" applyNumberFormat="1" applyFill="1" applyBorder="1" applyAlignment="1">
      <alignment horizontal="center"/>
    </xf>
    <xf numFmtId="165" fontId="1" fillId="7" borderId="0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21" xfId="0" applyFont="1" applyBorder="1" applyAlignment="1"/>
    <xf numFmtId="0" fontId="16" fillId="0" borderId="2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164" fontId="17" fillId="0" borderId="11" xfId="0" applyNumberFormat="1" applyFont="1" applyBorder="1"/>
    <xf numFmtId="164" fontId="17" fillId="0" borderId="0" xfId="0" applyNumberFormat="1" applyFont="1"/>
    <xf numFmtId="165" fontId="17" fillId="0" borderId="0" xfId="0" applyNumberFormat="1" applyFont="1"/>
    <xf numFmtId="165" fontId="17" fillId="0" borderId="4" xfId="0" applyNumberFormat="1" applyFont="1" applyBorder="1"/>
    <xf numFmtId="165" fontId="17" fillId="0" borderId="13" xfId="0" applyNumberFormat="1" applyFont="1" applyBorder="1"/>
    <xf numFmtId="164" fontId="17" fillId="0" borderId="14" xfId="0" applyNumberFormat="1" applyFont="1" applyBorder="1"/>
    <xf numFmtId="164" fontId="17" fillId="0" borderId="15" xfId="0" applyNumberFormat="1" applyFont="1" applyBorder="1"/>
    <xf numFmtId="165" fontId="17" fillId="0" borderId="15" xfId="0" applyNumberFormat="1" applyFont="1" applyBorder="1"/>
    <xf numFmtId="165" fontId="17" fillId="0" borderId="17" xfId="0" applyNumberFormat="1" applyFont="1" applyBorder="1"/>
    <xf numFmtId="165" fontId="17" fillId="0" borderId="19" xfId="0" applyNumberFormat="1" applyFont="1" applyBorder="1"/>
    <xf numFmtId="0" fontId="16" fillId="0" borderId="2" xfId="0" applyFont="1" applyBorder="1" applyAlignment="1">
      <alignment horizontal="center" vertical="center"/>
    </xf>
    <xf numFmtId="168" fontId="17" fillId="0" borderId="0" xfId="0" applyNumberFormat="1" applyFont="1"/>
    <xf numFmtId="168" fontId="17" fillId="0" borderId="5" xfId="0" applyNumberFormat="1" applyFont="1" applyBorder="1"/>
    <xf numFmtId="168" fontId="17" fillId="0" borderId="15" xfId="0" applyNumberFormat="1" applyFont="1" applyBorder="1"/>
    <xf numFmtId="168" fontId="17" fillId="0" borderId="18" xfId="0" applyNumberFormat="1" applyFont="1" applyBorder="1"/>
    <xf numFmtId="0" fontId="16" fillId="0" borderId="11" xfId="0" applyFont="1" applyBorder="1" applyAlignment="1">
      <alignment horizontal="center" vertical="center"/>
    </xf>
    <xf numFmtId="2" fontId="17" fillId="0" borderId="11" xfId="0" applyNumberFormat="1" applyFont="1" applyBorder="1"/>
    <xf numFmtId="2" fontId="17" fillId="0" borderId="0" xfId="0" applyNumberFormat="1" applyFont="1" applyAlignment="1">
      <alignment horizontal="center"/>
    </xf>
    <xf numFmtId="2" fontId="17" fillId="0" borderId="14" xfId="0" applyNumberFormat="1" applyFont="1" applyBorder="1"/>
    <xf numFmtId="2" fontId="17" fillId="0" borderId="15" xfId="0" applyNumberFormat="1" applyFont="1" applyBorder="1" applyAlignment="1">
      <alignment horizontal="center"/>
    </xf>
    <xf numFmtId="164" fontId="0" fillId="0" borderId="0" xfId="0" applyNumberFormat="1" applyBorder="1"/>
    <xf numFmtId="165" fontId="12" fillId="0" borderId="0" xfId="0" applyNumberFormat="1" applyFont="1" applyBorder="1" applyAlignment="1">
      <alignment horizontal="right" vertical="center"/>
    </xf>
    <xf numFmtId="0" fontId="15" fillId="5" borderId="29" xfId="0" applyFont="1" applyFill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11" fontId="0" fillId="0" borderId="0" xfId="0" applyNumberFormat="1" applyBorder="1"/>
    <xf numFmtId="0" fontId="0" fillId="0" borderId="0" xfId="0" applyBorder="1"/>
    <xf numFmtId="165" fontId="12" fillId="0" borderId="0" xfId="0" quotePrefix="1" applyNumberFormat="1" applyFont="1" applyBorder="1"/>
    <xf numFmtId="165" fontId="12" fillId="0" borderId="0" xfId="0" applyNumberFormat="1" applyFont="1" applyBorder="1"/>
    <xf numFmtId="165" fontId="0" fillId="0" borderId="0" xfId="0" quotePrefix="1" applyNumberFormat="1" applyBorder="1"/>
    <xf numFmtId="11" fontId="0" fillId="0" borderId="15" xfId="0" applyNumberFormat="1" applyBorder="1"/>
    <xf numFmtId="0" fontId="0" fillId="0" borderId="15" xfId="0" applyBorder="1"/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11" fontId="1" fillId="6" borderId="0" xfId="0" applyNumberFormat="1" applyFon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2" fontId="1" fillId="4" borderId="25" xfId="0" applyNumberFormat="1" applyFont="1" applyFill="1" applyBorder="1" applyAlignment="1">
      <alignment horizontal="center"/>
    </xf>
    <xf numFmtId="11" fontId="0" fillId="6" borderId="0" xfId="0" applyNumberFormat="1" applyFill="1" applyBorder="1" applyAlignment="1">
      <alignment horizontal="center"/>
    </xf>
    <xf numFmtId="166" fontId="0" fillId="7" borderId="0" xfId="0" applyNumberFormat="1" applyFill="1" applyBorder="1" applyAlignment="1">
      <alignment horizontal="center"/>
    </xf>
    <xf numFmtId="165" fontId="0" fillId="0" borderId="1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65" fontId="0" fillId="0" borderId="0" xfId="0" applyNumberFormat="1" applyBorder="1"/>
    <xf numFmtId="165" fontId="0" fillId="0" borderId="15" xfId="0" applyNumberFormat="1" applyBorder="1"/>
    <xf numFmtId="0" fontId="5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1" fontId="2" fillId="0" borderId="21" xfId="0" applyNumberFormat="1" applyFont="1" applyBorder="1"/>
    <xf numFmtId="0" fontId="2" fillId="0" borderId="21" xfId="0" applyFont="1" applyBorder="1"/>
    <xf numFmtId="165" fontId="11" fillId="0" borderId="21" xfId="0" applyNumberFormat="1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2" fillId="7" borderId="2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6" fontId="1" fillId="0" borderId="0" xfId="0" applyNumberFormat="1" applyFont="1" applyFill="1" applyAlignment="1">
      <alignment horizontal="center"/>
    </xf>
    <xf numFmtId="166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6" fontId="12" fillId="0" borderId="0" xfId="0" applyNumberFormat="1" applyFont="1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2" xfId="0" applyFont="1" applyBorder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26.png"/><Relationship Id="rId18" Type="http://schemas.openxmlformats.org/officeDocument/2006/relationships/image" Target="../media/image31.png"/><Relationship Id="rId3" Type="http://schemas.openxmlformats.org/officeDocument/2006/relationships/image" Target="../media/image2.png"/><Relationship Id="rId21" Type="http://schemas.openxmlformats.org/officeDocument/2006/relationships/image" Target="../media/image34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17" Type="http://schemas.openxmlformats.org/officeDocument/2006/relationships/image" Target="../media/image30.png"/><Relationship Id="rId2" Type="http://schemas.openxmlformats.org/officeDocument/2006/relationships/image" Target="../media/image1.png"/><Relationship Id="rId16" Type="http://schemas.openxmlformats.org/officeDocument/2006/relationships/image" Target="../media/image29.png"/><Relationship Id="rId20" Type="http://schemas.openxmlformats.org/officeDocument/2006/relationships/image" Target="../media/image33.png"/><Relationship Id="rId1" Type="http://schemas.openxmlformats.org/officeDocument/2006/relationships/image" Target="../media/image25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28.png"/><Relationship Id="rId23" Type="http://schemas.openxmlformats.org/officeDocument/2006/relationships/image" Target="../media/image36.png"/><Relationship Id="rId10" Type="http://schemas.openxmlformats.org/officeDocument/2006/relationships/image" Target="../media/image9.png"/><Relationship Id="rId19" Type="http://schemas.openxmlformats.org/officeDocument/2006/relationships/image" Target="../media/image32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27.png"/><Relationship Id="rId22" Type="http://schemas.openxmlformats.org/officeDocument/2006/relationships/image" Target="../media/image3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37.png"/><Relationship Id="rId18" Type="http://schemas.openxmlformats.org/officeDocument/2006/relationships/image" Target="../media/image42.png"/><Relationship Id="rId3" Type="http://schemas.openxmlformats.org/officeDocument/2006/relationships/image" Target="../media/image2.png"/><Relationship Id="rId21" Type="http://schemas.openxmlformats.org/officeDocument/2006/relationships/image" Target="../media/image45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17" Type="http://schemas.openxmlformats.org/officeDocument/2006/relationships/image" Target="../media/image41.png"/><Relationship Id="rId2" Type="http://schemas.openxmlformats.org/officeDocument/2006/relationships/image" Target="../media/image1.png"/><Relationship Id="rId16" Type="http://schemas.openxmlformats.org/officeDocument/2006/relationships/image" Target="../media/image40.png"/><Relationship Id="rId20" Type="http://schemas.openxmlformats.org/officeDocument/2006/relationships/image" Target="../media/image44.png"/><Relationship Id="rId1" Type="http://schemas.openxmlformats.org/officeDocument/2006/relationships/image" Target="../media/image25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39.png"/><Relationship Id="rId23" Type="http://schemas.openxmlformats.org/officeDocument/2006/relationships/image" Target="../media/image47.png"/><Relationship Id="rId10" Type="http://schemas.openxmlformats.org/officeDocument/2006/relationships/image" Target="../media/image9.png"/><Relationship Id="rId19" Type="http://schemas.openxmlformats.org/officeDocument/2006/relationships/image" Target="../media/image43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38.png"/><Relationship Id="rId22" Type="http://schemas.openxmlformats.org/officeDocument/2006/relationships/image" Target="../media/image4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605117</xdr:colOff>
      <xdr:row>34</xdr:row>
      <xdr:rowOff>97117</xdr:rowOff>
    </xdr:from>
    <xdr:to>
      <xdr:col>19</xdr:col>
      <xdr:colOff>627529</xdr:colOff>
      <xdr:row>42</xdr:row>
      <xdr:rowOff>29883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E7743D51-2B99-4949-BD5E-7E7201A8F0A7}"/>
            </a:ext>
          </a:extLst>
        </xdr:cNvPr>
        <xdr:cNvCxnSpPr/>
      </xdr:nvCxnSpPr>
      <xdr:spPr>
        <a:xfrm flipH="1" flipV="1">
          <a:off x="13073529" y="6066117"/>
          <a:ext cx="22412" cy="136711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623046</xdr:colOff>
      <xdr:row>42</xdr:row>
      <xdr:rowOff>44823</xdr:rowOff>
    </xdr:from>
    <xdr:to>
      <xdr:col>20</xdr:col>
      <xdr:colOff>239059</xdr:colOff>
      <xdr:row>42</xdr:row>
      <xdr:rowOff>47812</xdr:rowOff>
    </xdr:to>
    <xdr:cxnSp macro="">
      <xdr:nvCxnSpPr>
        <xdr:cNvPr id="14" name="直接箭头连接符 13">
          <a:extLst>
            <a:ext uri="{FF2B5EF4-FFF2-40B4-BE49-F238E27FC236}">
              <a16:creationId xmlns:a16="http://schemas.microsoft.com/office/drawing/2014/main" id="{06433E1E-5083-4EF3-BD27-9F9C30C6CA91}"/>
            </a:ext>
          </a:extLst>
        </xdr:cNvPr>
        <xdr:cNvCxnSpPr/>
      </xdr:nvCxnSpPr>
      <xdr:spPr>
        <a:xfrm flipV="1">
          <a:off x="13091458" y="7448176"/>
          <a:ext cx="318248" cy="298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635000</xdr:colOff>
      <xdr:row>34</xdr:row>
      <xdr:rowOff>149412</xdr:rowOff>
    </xdr:from>
    <xdr:to>
      <xdr:col>20</xdr:col>
      <xdr:colOff>149412</xdr:colOff>
      <xdr:row>42</xdr:row>
      <xdr:rowOff>59765</xdr:rowOff>
    </xdr:to>
    <xdr:cxnSp macro="">
      <xdr:nvCxnSpPr>
        <xdr:cNvPr id="15" name="直接连接符 14">
          <a:extLst>
            <a:ext uri="{FF2B5EF4-FFF2-40B4-BE49-F238E27FC236}">
              <a16:creationId xmlns:a16="http://schemas.microsoft.com/office/drawing/2014/main" id="{67D009EF-B0FE-4AC2-B467-3AA785CEBCCF}"/>
            </a:ext>
          </a:extLst>
        </xdr:cNvPr>
        <xdr:cNvCxnSpPr/>
      </xdr:nvCxnSpPr>
      <xdr:spPr>
        <a:xfrm flipV="1">
          <a:off x="13103412" y="6118412"/>
          <a:ext cx="216647" cy="1344706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25400</xdr:colOff>
      <xdr:row>21</xdr:row>
      <xdr:rowOff>25401</xdr:rowOff>
    </xdr:from>
    <xdr:to>
      <xdr:col>2</xdr:col>
      <xdr:colOff>519774</xdr:colOff>
      <xdr:row>29</xdr:row>
      <xdr:rowOff>76201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B508B8A-7D57-9F7E-2366-483A4D9EF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606801"/>
          <a:ext cx="1154774" cy="1473200"/>
        </a:xfrm>
        <a:prstGeom prst="rect">
          <a:avLst/>
        </a:prstGeom>
      </xdr:spPr>
    </xdr:pic>
    <xdr:clientData/>
  </xdr:twoCellAnchor>
  <xdr:twoCellAnchor editAs="oneCell">
    <xdr:from>
      <xdr:col>3</xdr:col>
      <xdr:colOff>31750</xdr:colOff>
      <xdr:row>21</xdr:row>
      <xdr:rowOff>31751</xdr:rowOff>
    </xdr:from>
    <xdr:to>
      <xdr:col>4</xdr:col>
      <xdr:colOff>571500</xdr:colOff>
      <xdr:row>29</xdr:row>
      <xdr:rowOff>90214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FE95CF0-3D0D-F706-ABCD-3386C90CA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43100" y="3613151"/>
          <a:ext cx="1200150" cy="1480863"/>
        </a:xfrm>
        <a:prstGeom prst="rect">
          <a:avLst/>
        </a:prstGeom>
      </xdr:spPr>
    </xdr:pic>
    <xdr:clientData/>
  </xdr:twoCellAnchor>
  <xdr:twoCellAnchor editAs="oneCell">
    <xdr:from>
      <xdr:col>9</xdr:col>
      <xdr:colOff>93756</xdr:colOff>
      <xdr:row>31</xdr:row>
      <xdr:rowOff>22039</xdr:rowOff>
    </xdr:from>
    <xdr:to>
      <xdr:col>11</xdr:col>
      <xdr:colOff>66054</xdr:colOff>
      <xdr:row>39</xdr:row>
      <xdr:rowOff>171825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28DE067-C5A1-8691-5E90-AC468B66E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74285" y="5445686"/>
          <a:ext cx="1249769" cy="1591609"/>
        </a:xfrm>
        <a:prstGeom prst="rect">
          <a:avLst/>
        </a:prstGeom>
      </xdr:spPr>
    </xdr:pic>
    <xdr:clientData/>
  </xdr:twoCellAnchor>
  <xdr:twoCellAnchor editAs="oneCell">
    <xdr:from>
      <xdr:col>4</xdr:col>
      <xdr:colOff>581309</xdr:colOff>
      <xdr:row>21</xdr:row>
      <xdr:rowOff>14940</xdr:rowOff>
    </xdr:from>
    <xdr:to>
      <xdr:col>7</xdr:col>
      <xdr:colOff>128121</xdr:colOff>
      <xdr:row>29</xdr:row>
      <xdr:rowOff>102910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F7ADECF1-01CE-3094-60E1-739D9129B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53059" y="3602690"/>
          <a:ext cx="1299412" cy="1510370"/>
        </a:xfrm>
        <a:prstGeom prst="rect">
          <a:avLst/>
        </a:prstGeom>
      </xdr:spPr>
    </xdr:pic>
    <xdr:clientData/>
  </xdr:twoCellAnchor>
  <xdr:twoCellAnchor editAs="oneCell">
    <xdr:from>
      <xdr:col>7</xdr:col>
      <xdr:colOff>54819</xdr:colOff>
      <xdr:row>21</xdr:row>
      <xdr:rowOff>8590</xdr:rowOff>
    </xdr:from>
    <xdr:to>
      <xdr:col>8</xdr:col>
      <xdr:colOff>567391</xdr:colOff>
      <xdr:row>29</xdr:row>
      <xdr:rowOff>119408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16B53491-DBC3-9818-6D35-63AE5A40C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79169" y="3596340"/>
          <a:ext cx="1122172" cy="1533218"/>
        </a:xfrm>
        <a:prstGeom prst="rect">
          <a:avLst/>
        </a:prstGeom>
      </xdr:spPr>
    </xdr:pic>
    <xdr:clientData/>
  </xdr:twoCellAnchor>
  <xdr:twoCellAnchor editAs="oneCell">
    <xdr:from>
      <xdr:col>8</xdr:col>
      <xdr:colOff>590178</xdr:colOff>
      <xdr:row>21</xdr:row>
      <xdr:rowOff>14940</xdr:rowOff>
    </xdr:from>
    <xdr:to>
      <xdr:col>10</xdr:col>
      <xdr:colOff>521934</xdr:colOff>
      <xdr:row>29</xdr:row>
      <xdr:rowOff>149412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AA3E890-2EA2-65B8-8801-EE50F34B5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22472" y="3630705"/>
          <a:ext cx="1246580" cy="1568825"/>
        </a:xfrm>
        <a:prstGeom prst="rect">
          <a:avLst/>
        </a:prstGeom>
      </xdr:spPr>
    </xdr:pic>
    <xdr:clientData/>
  </xdr:twoCellAnchor>
  <xdr:twoCellAnchor editAs="oneCell">
    <xdr:from>
      <xdr:col>10</xdr:col>
      <xdr:colOff>563656</xdr:colOff>
      <xdr:row>21</xdr:row>
      <xdr:rowOff>7470</xdr:rowOff>
    </xdr:from>
    <xdr:to>
      <xdr:col>12</xdr:col>
      <xdr:colOff>429185</xdr:colOff>
      <xdr:row>29</xdr:row>
      <xdr:rowOff>155452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11724C4-54AE-7DA6-C256-D35B447A5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18406" y="3595220"/>
          <a:ext cx="1186329" cy="1570382"/>
        </a:xfrm>
        <a:prstGeom prst="rect">
          <a:avLst/>
        </a:prstGeom>
      </xdr:spPr>
    </xdr:pic>
    <xdr:clientData/>
  </xdr:twoCellAnchor>
  <xdr:twoCellAnchor editAs="oneCell">
    <xdr:from>
      <xdr:col>1</xdr:col>
      <xdr:colOff>22412</xdr:colOff>
      <xdr:row>31</xdr:row>
      <xdr:rowOff>14941</xdr:rowOff>
    </xdr:from>
    <xdr:to>
      <xdr:col>2</xdr:col>
      <xdr:colOff>545352</xdr:colOff>
      <xdr:row>39</xdr:row>
      <xdr:rowOff>87766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CB46E048-7D53-01F9-9FC5-1086D8452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79824" y="5431117"/>
          <a:ext cx="1180352" cy="1514648"/>
        </a:xfrm>
        <a:prstGeom prst="rect">
          <a:avLst/>
        </a:prstGeom>
      </xdr:spPr>
    </xdr:pic>
    <xdr:clientData/>
  </xdr:twoCellAnchor>
  <xdr:twoCellAnchor editAs="oneCell">
    <xdr:from>
      <xdr:col>3</xdr:col>
      <xdr:colOff>29882</xdr:colOff>
      <xdr:row>31</xdr:row>
      <xdr:rowOff>1</xdr:rowOff>
    </xdr:from>
    <xdr:to>
      <xdr:col>4</xdr:col>
      <xdr:colOff>567764</xdr:colOff>
      <xdr:row>39</xdr:row>
      <xdr:rowOff>138117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29BFAD11-4417-4CD9-7205-659E80C99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34882" y="5416177"/>
          <a:ext cx="1195294" cy="1579939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635000</xdr:colOff>
      <xdr:row>31</xdr:row>
      <xdr:rowOff>14944</xdr:rowOff>
    </xdr:from>
    <xdr:to>
      <xdr:col>7</xdr:col>
      <xdr:colOff>134834</xdr:colOff>
      <xdr:row>39</xdr:row>
      <xdr:rowOff>134473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8E4EB39E-5563-CD39-FA59-D602781A6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197412" y="5431120"/>
          <a:ext cx="1246457" cy="1561352"/>
        </a:xfrm>
        <a:prstGeom prst="rect">
          <a:avLst/>
        </a:prstGeom>
      </xdr:spPr>
    </xdr:pic>
    <xdr:clientData/>
  </xdr:twoCellAnchor>
  <xdr:twoCellAnchor editAs="oneCell">
    <xdr:from>
      <xdr:col>7</xdr:col>
      <xdr:colOff>146049</xdr:colOff>
      <xdr:row>31</xdr:row>
      <xdr:rowOff>36980</xdr:rowOff>
    </xdr:from>
    <xdr:to>
      <xdr:col>9</xdr:col>
      <xdr:colOff>60725</xdr:colOff>
      <xdr:row>40</xdr:row>
      <xdr:rowOff>2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A532333B-A78B-E491-2B9D-2F1773B2D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456578" y="5460627"/>
          <a:ext cx="1184676" cy="1584139"/>
        </a:xfrm>
        <a:prstGeom prst="rect">
          <a:avLst/>
        </a:prstGeom>
      </xdr:spPr>
    </xdr:pic>
    <xdr:clientData/>
  </xdr:twoCellAnchor>
  <xdr:twoCellAnchor editAs="oneCell">
    <xdr:from>
      <xdr:col>13</xdr:col>
      <xdr:colOff>539751</xdr:colOff>
      <xdr:row>59</xdr:row>
      <xdr:rowOff>57150</xdr:rowOff>
    </xdr:from>
    <xdr:to>
      <xdr:col>15</xdr:col>
      <xdr:colOff>304800</xdr:colOff>
      <xdr:row>66</xdr:row>
      <xdr:rowOff>116750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EA8CAF71-7C65-C2BB-FAB0-5B80CCBC1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720045" y="10515974"/>
          <a:ext cx="1147108" cy="1314659"/>
        </a:xfrm>
        <a:prstGeom prst="rect">
          <a:avLst/>
        </a:prstGeom>
      </xdr:spPr>
    </xdr:pic>
    <xdr:clientData/>
  </xdr:twoCellAnchor>
  <xdr:twoCellAnchor editAs="oneCell">
    <xdr:from>
      <xdr:col>15</xdr:col>
      <xdr:colOff>419100</xdr:colOff>
      <xdr:row>59</xdr:row>
      <xdr:rowOff>44450</xdr:rowOff>
    </xdr:from>
    <xdr:to>
      <xdr:col>16</xdr:col>
      <xdr:colOff>673100</xdr:colOff>
      <xdr:row>67</xdr:row>
      <xdr:rowOff>37682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DB43CEAE-06CD-A58C-3B0D-732BB36E5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001250" y="10407650"/>
          <a:ext cx="1123950" cy="1415633"/>
        </a:xfrm>
        <a:prstGeom prst="rect">
          <a:avLst/>
        </a:prstGeom>
      </xdr:spPr>
    </xdr:pic>
    <xdr:clientData/>
  </xdr:twoCellAnchor>
  <xdr:twoCellAnchor editAs="oneCell">
    <xdr:from>
      <xdr:col>10</xdr:col>
      <xdr:colOff>558800</xdr:colOff>
      <xdr:row>54</xdr:row>
      <xdr:rowOff>63499</xdr:rowOff>
    </xdr:from>
    <xdr:to>
      <xdr:col>12</xdr:col>
      <xdr:colOff>431799</xdr:colOff>
      <xdr:row>62</xdr:row>
      <xdr:rowOff>123722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DFB7862-0302-1F3A-CD85-B4A889707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813550" y="9544049"/>
          <a:ext cx="1193799" cy="1482623"/>
        </a:xfrm>
        <a:prstGeom prst="rect">
          <a:avLst/>
        </a:prstGeom>
      </xdr:spPr>
    </xdr:pic>
    <xdr:clientData/>
  </xdr:twoCellAnchor>
  <xdr:twoCellAnchor editAs="oneCell">
    <xdr:from>
      <xdr:col>9</xdr:col>
      <xdr:colOff>4072</xdr:colOff>
      <xdr:row>54</xdr:row>
      <xdr:rowOff>57149</xdr:rowOff>
    </xdr:from>
    <xdr:to>
      <xdr:col>10</xdr:col>
      <xdr:colOff>469900</xdr:colOff>
      <xdr:row>62</xdr:row>
      <xdr:rowOff>127198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77C97E1D-E0D2-7FD0-E152-6A7616776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598422" y="9537699"/>
          <a:ext cx="1126228" cy="1492449"/>
        </a:xfrm>
        <a:prstGeom prst="rect">
          <a:avLst/>
        </a:prstGeom>
      </xdr:spPr>
    </xdr:pic>
    <xdr:clientData/>
  </xdr:twoCellAnchor>
  <xdr:twoCellAnchor editAs="oneCell">
    <xdr:from>
      <xdr:col>10</xdr:col>
      <xdr:colOff>590550</xdr:colOff>
      <xdr:row>43</xdr:row>
      <xdr:rowOff>76200</xdr:rowOff>
    </xdr:from>
    <xdr:to>
      <xdr:col>12</xdr:col>
      <xdr:colOff>396250</xdr:colOff>
      <xdr:row>51</xdr:row>
      <xdr:rowOff>133472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AC674384-C852-112B-CC24-0220FB19F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857724" y="7536070"/>
          <a:ext cx="1130917" cy="1472460"/>
        </a:xfrm>
        <a:prstGeom prst="rect">
          <a:avLst/>
        </a:prstGeom>
      </xdr:spPr>
    </xdr:pic>
    <xdr:clientData/>
  </xdr:twoCellAnchor>
  <xdr:twoCellAnchor editAs="oneCell">
    <xdr:from>
      <xdr:col>8</xdr:col>
      <xdr:colOff>609600</xdr:colOff>
      <xdr:row>43</xdr:row>
      <xdr:rowOff>68446</xdr:rowOff>
    </xdr:from>
    <xdr:to>
      <xdr:col>10</xdr:col>
      <xdr:colOff>571500</xdr:colOff>
      <xdr:row>51</xdr:row>
      <xdr:rowOff>152516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80004412-41A3-1DA2-DE92-787997683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3550" y="7586846"/>
          <a:ext cx="1282700" cy="1512819"/>
        </a:xfrm>
        <a:prstGeom prst="rect">
          <a:avLst/>
        </a:prstGeom>
      </xdr:spPr>
    </xdr:pic>
    <xdr:clientData/>
  </xdr:twoCellAnchor>
  <xdr:twoCellAnchor editAs="oneCell">
    <xdr:from>
      <xdr:col>6</xdr:col>
      <xdr:colOff>565150</xdr:colOff>
      <xdr:row>43</xdr:row>
      <xdr:rowOff>26851</xdr:rowOff>
    </xdr:from>
    <xdr:to>
      <xdr:col>8</xdr:col>
      <xdr:colOff>565150</xdr:colOff>
      <xdr:row>51</xdr:row>
      <xdr:rowOff>165102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7F0F326D-066A-500D-037C-8E1C71496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292600" y="7545251"/>
          <a:ext cx="1206500" cy="1567000"/>
        </a:xfrm>
        <a:prstGeom prst="rect">
          <a:avLst/>
        </a:prstGeom>
      </xdr:spPr>
    </xdr:pic>
    <xdr:clientData/>
  </xdr:twoCellAnchor>
  <xdr:twoCellAnchor editAs="oneCell">
    <xdr:from>
      <xdr:col>6</xdr:col>
      <xdr:colOff>546100</xdr:colOff>
      <xdr:row>54</xdr:row>
      <xdr:rowOff>52250</xdr:rowOff>
    </xdr:from>
    <xdr:to>
      <xdr:col>8</xdr:col>
      <xdr:colOff>568128</xdr:colOff>
      <xdr:row>63</xdr:row>
      <xdr:rowOff>19049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72A2ACE-EB76-79F8-423F-02AA6CB0C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273550" y="9532800"/>
          <a:ext cx="1228528" cy="1567000"/>
        </a:xfrm>
        <a:prstGeom prst="rect">
          <a:avLst/>
        </a:prstGeom>
      </xdr:spPr>
    </xdr:pic>
    <xdr:clientData/>
  </xdr:twoCellAnchor>
  <xdr:twoCellAnchor editAs="oneCell">
    <xdr:from>
      <xdr:col>0</xdr:col>
      <xdr:colOff>165100</xdr:colOff>
      <xdr:row>54</xdr:row>
      <xdr:rowOff>76201</xdr:rowOff>
    </xdr:from>
    <xdr:to>
      <xdr:col>6</xdr:col>
      <xdr:colOff>505851</xdr:colOff>
      <xdr:row>57</xdr:row>
      <xdr:rowOff>82550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8B468E3A-3D4E-A6F5-F289-A80EA9145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65100" y="9556751"/>
          <a:ext cx="4068201" cy="539750"/>
        </a:xfrm>
        <a:prstGeom prst="rect">
          <a:avLst/>
        </a:prstGeom>
      </xdr:spPr>
    </xdr:pic>
    <xdr:clientData/>
  </xdr:twoCellAnchor>
  <xdr:twoCellAnchor editAs="oneCell">
    <xdr:from>
      <xdr:col>4</xdr:col>
      <xdr:colOff>431801</xdr:colOff>
      <xdr:row>43</xdr:row>
      <xdr:rowOff>57150</xdr:rowOff>
    </xdr:from>
    <xdr:to>
      <xdr:col>6</xdr:col>
      <xdr:colOff>525063</xdr:colOff>
      <xdr:row>52</xdr:row>
      <xdr:rowOff>1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363DBA10-5664-A82A-EDF5-DD687599F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003551" y="7575550"/>
          <a:ext cx="1248962" cy="1549400"/>
        </a:xfrm>
        <a:prstGeom prst="rect">
          <a:avLst/>
        </a:prstGeom>
      </xdr:spPr>
    </xdr:pic>
    <xdr:clientData/>
  </xdr:twoCellAnchor>
  <xdr:twoCellAnchor editAs="oneCell">
    <xdr:from>
      <xdr:col>2</xdr:col>
      <xdr:colOff>425450</xdr:colOff>
      <xdr:row>43</xdr:row>
      <xdr:rowOff>69851</xdr:rowOff>
    </xdr:from>
    <xdr:to>
      <xdr:col>4</xdr:col>
      <xdr:colOff>387350</xdr:colOff>
      <xdr:row>51</xdr:row>
      <xdr:rowOff>168706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6CE91013-E3D8-E54E-CFE9-FC5106155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746250" y="7588251"/>
          <a:ext cx="1212850" cy="1527604"/>
        </a:xfrm>
        <a:prstGeom prst="rect">
          <a:avLst/>
        </a:prstGeom>
      </xdr:spPr>
    </xdr:pic>
    <xdr:clientData/>
  </xdr:twoCellAnchor>
  <xdr:twoCellAnchor editAs="oneCell">
    <xdr:from>
      <xdr:col>0</xdr:col>
      <xdr:colOff>422088</xdr:colOff>
      <xdr:row>43</xdr:row>
      <xdr:rowOff>38100</xdr:rowOff>
    </xdr:from>
    <xdr:to>
      <xdr:col>2</xdr:col>
      <xdr:colOff>360716</xdr:colOff>
      <xdr:row>51</xdr:row>
      <xdr:rowOff>158750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A6C8A5FB-3B56-43DB-B133-204F94DAA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22088" y="7620747"/>
          <a:ext cx="1253452" cy="1562473"/>
        </a:xfrm>
        <a:prstGeom prst="rect">
          <a:avLst/>
        </a:prstGeom>
      </xdr:spPr>
    </xdr:pic>
    <xdr:clientData/>
  </xdr:twoCellAnchor>
  <xdr:twoCellAnchor>
    <xdr:from>
      <xdr:col>19</xdr:col>
      <xdr:colOff>575235</xdr:colOff>
      <xdr:row>36</xdr:row>
      <xdr:rowOff>52294</xdr:rowOff>
    </xdr:from>
    <xdr:to>
      <xdr:col>20</xdr:col>
      <xdr:colOff>201706</xdr:colOff>
      <xdr:row>37</xdr:row>
      <xdr:rowOff>156882</xdr:rowOff>
    </xdr:to>
    <xdr:sp macro="" textlink="">
      <xdr:nvSpPr>
        <xdr:cNvPr id="28" name="文本框 27">
          <a:extLst>
            <a:ext uri="{FF2B5EF4-FFF2-40B4-BE49-F238E27FC236}">
              <a16:creationId xmlns:a16="http://schemas.microsoft.com/office/drawing/2014/main" id="{27C96E1B-11CA-410B-B0A8-ABD853EB189B}"/>
            </a:ext>
          </a:extLst>
        </xdr:cNvPr>
        <xdr:cNvSpPr txBox="1"/>
      </xdr:nvSpPr>
      <xdr:spPr>
        <a:xfrm>
          <a:off x="13043647" y="6379882"/>
          <a:ext cx="328706" cy="283882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 i="1"/>
            <a:t>φ</a:t>
          </a:r>
          <a:endParaRPr lang="zh-SG" altLang="en-US" sz="1100" i="1"/>
        </a:p>
      </xdr:txBody>
    </xdr:sp>
    <xdr:clientData/>
  </xdr:twoCellAnchor>
  <xdr:twoCellAnchor editAs="oneCell">
    <xdr:from>
      <xdr:col>0</xdr:col>
      <xdr:colOff>224117</xdr:colOff>
      <xdr:row>69</xdr:row>
      <xdr:rowOff>37353</xdr:rowOff>
    </xdr:from>
    <xdr:to>
      <xdr:col>16</xdr:col>
      <xdr:colOff>292265</xdr:colOff>
      <xdr:row>114</xdr:row>
      <xdr:rowOff>161038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C040957F-865E-62E2-420E-C16E42556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24117" y="12304059"/>
          <a:ext cx="10497089" cy="8191921"/>
        </a:xfrm>
        <a:prstGeom prst="rect">
          <a:avLst/>
        </a:prstGeom>
      </xdr:spPr>
    </xdr:pic>
    <xdr:clientData/>
  </xdr:twoCellAnchor>
  <xdr:twoCellAnchor>
    <xdr:from>
      <xdr:col>7</xdr:col>
      <xdr:colOff>194235</xdr:colOff>
      <xdr:row>7</xdr:row>
      <xdr:rowOff>112060</xdr:rowOff>
    </xdr:from>
    <xdr:to>
      <xdr:col>7</xdr:col>
      <xdr:colOff>590176</xdr:colOff>
      <xdr:row>8</xdr:row>
      <xdr:rowOff>119530</xdr:rowOff>
    </xdr:to>
    <xdr:sp macro="" textlink="">
      <xdr:nvSpPr>
        <xdr:cNvPr id="16" name="箭头: 右 15">
          <a:extLst>
            <a:ext uri="{FF2B5EF4-FFF2-40B4-BE49-F238E27FC236}">
              <a16:creationId xmlns:a16="http://schemas.microsoft.com/office/drawing/2014/main" id="{5A456724-F9D1-4EFA-AE34-A80A013F62FC}"/>
            </a:ext>
          </a:extLst>
        </xdr:cNvPr>
        <xdr:cNvSpPr/>
      </xdr:nvSpPr>
      <xdr:spPr>
        <a:xfrm>
          <a:off x="4504764" y="1374589"/>
          <a:ext cx="395941" cy="18676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SG" altLang="en-US" sz="1100"/>
        </a:p>
      </xdr:txBody>
    </xdr:sp>
    <xdr:clientData/>
  </xdr:twoCellAnchor>
  <xdr:twoCellAnchor>
    <xdr:from>
      <xdr:col>20</xdr:col>
      <xdr:colOff>324222</xdr:colOff>
      <xdr:row>15</xdr:row>
      <xdr:rowOff>62754</xdr:rowOff>
    </xdr:from>
    <xdr:to>
      <xdr:col>21</xdr:col>
      <xdr:colOff>17928</xdr:colOff>
      <xdr:row>16</xdr:row>
      <xdr:rowOff>62754</xdr:rowOff>
    </xdr:to>
    <xdr:sp macro="" textlink="">
      <xdr:nvSpPr>
        <xdr:cNvPr id="18" name="箭头: 右 17">
          <a:extLst>
            <a:ext uri="{FF2B5EF4-FFF2-40B4-BE49-F238E27FC236}">
              <a16:creationId xmlns:a16="http://schemas.microsoft.com/office/drawing/2014/main" id="{FCCAF07D-2B70-452A-A673-D9E256E4D0FF}"/>
            </a:ext>
          </a:extLst>
        </xdr:cNvPr>
        <xdr:cNvSpPr/>
      </xdr:nvSpPr>
      <xdr:spPr>
        <a:xfrm rot="2547808">
          <a:off x="13935634" y="2767107"/>
          <a:ext cx="395941" cy="18676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SG" altLang="en-US" sz="1100"/>
        </a:p>
      </xdr:txBody>
    </xdr:sp>
    <xdr:clientData/>
  </xdr:twoCellAnchor>
  <xdr:twoCellAnchor>
    <xdr:from>
      <xdr:col>19</xdr:col>
      <xdr:colOff>170328</xdr:colOff>
      <xdr:row>23</xdr:row>
      <xdr:rowOff>95624</xdr:rowOff>
    </xdr:from>
    <xdr:to>
      <xdr:col>19</xdr:col>
      <xdr:colOff>566269</xdr:colOff>
      <xdr:row>24</xdr:row>
      <xdr:rowOff>103095</xdr:rowOff>
    </xdr:to>
    <xdr:sp macro="" textlink="">
      <xdr:nvSpPr>
        <xdr:cNvPr id="27" name="箭头: 右 26">
          <a:extLst>
            <a:ext uri="{FF2B5EF4-FFF2-40B4-BE49-F238E27FC236}">
              <a16:creationId xmlns:a16="http://schemas.microsoft.com/office/drawing/2014/main" id="{FC18F731-3DCF-4D70-9551-BA682BC29199}"/>
            </a:ext>
          </a:extLst>
        </xdr:cNvPr>
        <xdr:cNvSpPr/>
      </xdr:nvSpPr>
      <xdr:spPr>
        <a:xfrm rot="10800000">
          <a:off x="13079504" y="4077448"/>
          <a:ext cx="395941" cy="18676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SG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605117</xdr:colOff>
      <xdr:row>33</xdr:row>
      <xdr:rowOff>97117</xdr:rowOff>
    </xdr:from>
    <xdr:to>
      <xdr:col>19</xdr:col>
      <xdr:colOff>627529</xdr:colOff>
      <xdr:row>41</xdr:row>
      <xdr:rowOff>29883</xdr:rowOff>
    </xdr:to>
    <xdr:cxnSp macro="">
      <xdr:nvCxnSpPr>
        <xdr:cNvPr id="2" name="直接箭头连接符 1">
          <a:extLst>
            <a:ext uri="{FF2B5EF4-FFF2-40B4-BE49-F238E27FC236}">
              <a16:creationId xmlns:a16="http://schemas.microsoft.com/office/drawing/2014/main" id="{318C46D6-AD99-4D32-AF7C-B9B817E2B02B}"/>
            </a:ext>
          </a:extLst>
        </xdr:cNvPr>
        <xdr:cNvCxnSpPr/>
      </xdr:nvCxnSpPr>
      <xdr:spPr>
        <a:xfrm flipH="1" flipV="1">
          <a:off x="13254317" y="6008967"/>
          <a:ext cx="22412" cy="135516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623046</xdr:colOff>
      <xdr:row>41</xdr:row>
      <xdr:rowOff>44824</xdr:rowOff>
    </xdr:from>
    <xdr:to>
      <xdr:col>20</xdr:col>
      <xdr:colOff>530411</xdr:colOff>
      <xdr:row>41</xdr:row>
      <xdr:rowOff>47812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C10B903D-90DD-4110-814B-E6CE81EC815F}"/>
            </a:ext>
          </a:extLst>
        </xdr:cNvPr>
        <xdr:cNvCxnSpPr/>
      </xdr:nvCxnSpPr>
      <xdr:spPr>
        <a:xfrm flipV="1">
          <a:off x="13272246" y="7379074"/>
          <a:ext cx="605865" cy="298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353536</xdr:colOff>
      <xdr:row>44</xdr:row>
      <xdr:rowOff>172164</xdr:rowOff>
    </xdr:from>
    <xdr:to>
      <xdr:col>18</xdr:col>
      <xdr:colOff>378717</xdr:colOff>
      <xdr:row>55</xdr:row>
      <xdr:rowOff>116053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6335ED4-CA61-4FF1-9E39-713894604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8183" y="8120870"/>
          <a:ext cx="3611063" cy="1916124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20</xdr:row>
      <xdr:rowOff>25401</xdr:rowOff>
    </xdr:from>
    <xdr:to>
      <xdr:col>2</xdr:col>
      <xdr:colOff>519774</xdr:colOff>
      <xdr:row>28</xdr:row>
      <xdr:rowOff>76201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9F46FC0-3A1F-4891-AE85-B2F92CC9A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613151"/>
          <a:ext cx="1154774" cy="1473200"/>
        </a:xfrm>
        <a:prstGeom prst="rect">
          <a:avLst/>
        </a:prstGeom>
      </xdr:spPr>
    </xdr:pic>
    <xdr:clientData/>
  </xdr:twoCellAnchor>
  <xdr:twoCellAnchor editAs="oneCell">
    <xdr:from>
      <xdr:col>3</xdr:col>
      <xdr:colOff>31750</xdr:colOff>
      <xdr:row>20</xdr:row>
      <xdr:rowOff>31751</xdr:rowOff>
    </xdr:from>
    <xdr:to>
      <xdr:col>4</xdr:col>
      <xdr:colOff>571500</xdr:colOff>
      <xdr:row>28</xdr:row>
      <xdr:rowOff>90214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39C9645D-5EF0-4A49-8019-A8235EB30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43100" y="3619501"/>
          <a:ext cx="1200150" cy="1480863"/>
        </a:xfrm>
        <a:prstGeom prst="rect">
          <a:avLst/>
        </a:prstGeom>
      </xdr:spPr>
    </xdr:pic>
    <xdr:clientData/>
  </xdr:twoCellAnchor>
  <xdr:twoCellAnchor editAs="oneCell">
    <xdr:from>
      <xdr:col>8</xdr:col>
      <xdr:colOff>639109</xdr:colOff>
      <xdr:row>29</xdr:row>
      <xdr:rowOff>186392</xdr:rowOff>
    </xdr:from>
    <xdr:to>
      <xdr:col>10</xdr:col>
      <xdr:colOff>574055</xdr:colOff>
      <xdr:row>38</xdr:row>
      <xdr:rowOff>149412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36F5FCBC-4B44-469C-A161-CC9A290EC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73059" y="5374342"/>
          <a:ext cx="1255746" cy="1575920"/>
        </a:xfrm>
        <a:prstGeom prst="rect">
          <a:avLst/>
        </a:prstGeom>
      </xdr:spPr>
    </xdr:pic>
    <xdr:clientData/>
  </xdr:twoCellAnchor>
  <xdr:twoCellAnchor editAs="oneCell">
    <xdr:from>
      <xdr:col>4</xdr:col>
      <xdr:colOff>562259</xdr:colOff>
      <xdr:row>20</xdr:row>
      <xdr:rowOff>19050</xdr:rowOff>
    </xdr:from>
    <xdr:to>
      <xdr:col>7</xdr:col>
      <xdr:colOff>116461</xdr:colOff>
      <xdr:row>28</xdr:row>
      <xdr:rowOff>115610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A01FFEE7-AAB5-44E1-86A7-CA520FE23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34009" y="3606800"/>
          <a:ext cx="1306802" cy="1518960"/>
        </a:xfrm>
        <a:prstGeom prst="rect">
          <a:avLst/>
        </a:prstGeom>
      </xdr:spPr>
    </xdr:pic>
    <xdr:clientData/>
  </xdr:twoCellAnchor>
  <xdr:twoCellAnchor editAs="oneCell">
    <xdr:from>
      <xdr:col>7</xdr:col>
      <xdr:colOff>61169</xdr:colOff>
      <xdr:row>20</xdr:row>
      <xdr:rowOff>8590</xdr:rowOff>
    </xdr:from>
    <xdr:to>
      <xdr:col>8</xdr:col>
      <xdr:colOff>573741</xdr:colOff>
      <xdr:row>28</xdr:row>
      <xdr:rowOff>119408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8BBE9268-156A-4F82-83FA-632A7C3DB6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85519" y="3596340"/>
          <a:ext cx="1122172" cy="1533218"/>
        </a:xfrm>
        <a:prstGeom prst="rect">
          <a:avLst/>
        </a:prstGeom>
      </xdr:spPr>
    </xdr:pic>
    <xdr:clientData/>
  </xdr:twoCellAnchor>
  <xdr:twoCellAnchor editAs="oneCell">
    <xdr:from>
      <xdr:col>8</xdr:col>
      <xdr:colOff>590178</xdr:colOff>
      <xdr:row>20</xdr:row>
      <xdr:rowOff>14940</xdr:rowOff>
    </xdr:from>
    <xdr:to>
      <xdr:col>10</xdr:col>
      <xdr:colOff>521934</xdr:colOff>
      <xdr:row>28</xdr:row>
      <xdr:rowOff>149412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ECDEE052-DE54-479C-A53F-A69624B3A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24128" y="3602690"/>
          <a:ext cx="1252556" cy="1556872"/>
        </a:xfrm>
        <a:prstGeom prst="rect">
          <a:avLst/>
        </a:prstGeom>
      </xdr:spPr>
    </xdr:pic>
    <xdr:clientData/>
  </xdr:twoCellAnchor>
  <xdr:twoCellAnchor editAs="oneCell">
    <xdr:from>
      <xdr:col>10</xdr:col>
      <xdr:colOff>563656</xdr:colOff>
      <xdr:row>20</xdr:row>
      <xdr:rowOff>7470</xdr:rowOff>
    </xdr:from>
    <xdr:to>
      <xdr:col>12</xdr:col>
      <xdr:colOff>429185</xdr:colOff>
      <xdr:row>28</xdr:row>
      <xdr:rowOff>155452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843EDE82-09A3-4EB2-A4ED-96A02057D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18406" y="3595220"/>
          <a:ext cx="1186329" cy="1570382"/>
        </a:xfrm>
        <a:prstGeom prst="rect">
          <a:avLst/>
        </a:prstGeom>
      </xdr:spPr>
    </xdr:pic>
    <xdr:clientData/>
  </xdr:twoCellAnchor>
  <xdr:twoCellAnchor editAs="oneCell">
    <xdr:from>
      <xdr:col>1</xdr:col>
      <xdr:colOff>22412</xdr:colOff>
      <xdr:row>30</xdr:row>
      <xdr:rowOff>14941</xdr:rowOff>
    </xdr:from>
    <xdr:to>
      <xdr:col>2</xdr:col>
      <xdr:colOff>545352</xdr:colOff>
      <xdr:row>38</xdr:row>
      <xdr:rowOff>87765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78F86E61-9C58-40F0-A4EB-C7CCC88A3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2812" y="5387041"/>
          <a:ext cx="1183340" cy="1501574"/>
        </a:xfrm>
        <a:prstGeom prst="rect">
          <a:avLst/>
        </a:prstGeom>
      </xdr:spPr>
    </xdr:pic>
    <xdr:clientData/>
  </xdr:twoCellAnchor>
  <xdr:twoCellAnchor editAs="oneCell">
    <xdr:from>
      <xdr:col>3</xdr:col>
      <xdr:colOff>29882</xdr:colOff>
      <xdr:row>30</xdr:row>
      <xdr:rowOff>1</xdr:rowOff>
    </xdr:from>
    <xdr:to>
      <xdr:col>4</xdr:col>
      <xdr:colOff>567764</xdr:colOff>
      <xdr:row>38</xdr:row>
      <xdr:rowOff>138116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84C7220D-0C87-4636-AFEA-21C146417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41232" y="5372101"/>
          <a:ext cx="1198282" cy="1566865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635000</xdr:colOff>
      <xdr:row>30</xdr:row>
      <xdr:rowOff>14944</xdr:rowOff>
    </xdr:from>
    <xdr:to>
      <xdr:col>7</xdr:col>
      <xdr:colOff>134834</xdr:colOff>
      <xdr:row>38</xdr:row>
      <xdr:rowOff>134472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70082E2-EE0D-4F6F-8FF6-F9CFD13DC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206750" y="5387044"/>
          <a:ext cx="1252434" cy="1548278"/>
        </a:xfrm>
        <a:prstGeom prst="rect">
          <a:avLst/>
        </a:prstGeom>
      </xdr:spPr>
    </xdr:pic>
    <xdr:clientData/>
  </xdr:twoCellAnchor>
  <xdr:twoCellAnchor editAs="oneCell">
    <xdr:from>
      <xdr:col>7</xdr:col>
      <xdr:colOff>41461</xdr:colOff>
      <xdr:row>29</xdr:row>
      <xdr:rowOff>186392</xdr:rowOff>
    </xdr:from>
    <xdr:to>
      <xdr:col>8</xdr:col>
      <xdr:colOff>613548</xdr:colOff>
      <xdr:row>38</xdr:row>
      <xdr:rowOff>141942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824DE5E6-26B8-4BE6-A3C4-49504C3C9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365811" y="5374342"/>
          <a:ext cx="1181687" cy="1568450"/>
        </a:xfrm>
        <a:prstGeom prst="rect">
          <a:avLst/>
        </a:prstGeom>
      </xdr:spPr>
    </xdr:pic>
    <xdr:clientData/>
  </xdr:twoCellAnchor>
  <xdr:twoCellAnchor>
    <xdr:from>
      <xdr:col>19</xdr:col>
      <xdr:colOff>605117</xdr:colOff>
      <xdr:row>33</xdr:row>
      <xdr:rowOff>97117</xdr:rowOff>
    </xdr:from>
    <xdr:to>
      <xdr:col>19</xdr:col>
      <xdr:colOff>627529</xdr:colOff>
      <xdr:row>41</xdr:row>
      <xdr:rowOff>29883</xdr:rowOff>
    </xdr:to>
    <xdr:cxnSp macro="">
      <xdr:nvCxnSpPr>
        <xdr:cNvPr id="16" name="直接箭头连接符 15">
          <a:extLst>
            <a:ext uri="{FF2B5EF4-FFF2-40B4-BE49-F238E27FC236}">
              <a16:creationId xmlns:a16="http://schemas.microsoft.com/office/drawing/2014/main" id="{6DFAC6FC-C90A-42BD-B4FB-421CD0F455A8}"/>
            </a:ext>
          </a:extLst>
        </xdr:cNvPr>
        <xdr:cNvCxnSpPr/>
      </xdr:nvCxnSpPr>
      <xdr:spPr>
        <a:xfrm flipH="1" flipV="1">
          <a:off x="13254317" y="6008967"/>
          <a:ext cx="22412" cy="135516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623046</xdr:colOff>
      <xdr:row>41</xdr:row>
      <xdr:rowOff>44823</xdr:rowOff>
    </xdr:from>
    <xdr:to>
      <xdr:col>20</xdr:col>
      <xdr:colOff>239059</xdr:colOff>
      <xdr:row>41</xdr:row>
      <xdr:rowOff>47812</xdr:rowOff>
    </xdr:to>
    <xdr:cxnSp macro="">
      <xdr:nvCxnSpPr>
        <xdr:cNvPr id="17" name="直接箭头连接符 16">
          <a:extLst>
            <a:ext uri="{FF2B5EF4-FFF2-40B4-BE49-F238E27FC236}">
              <a16:creationId xmlns:a16="http://schemas.microsoft.com/office/drawing/2014/main" id="{9230092C-2ADA-45CC-AAE4-5D9DA1529F5C}"/>
            </a:ext>
          </a:extLst>
        </xdr:cNvPr>
        <xdr:cNvCxnSpPr/>
      </xdr:nvCxnSpPr>
      <xdr:spPr>
        <a:xfrm flipV="1">
          <a:off x="13272246" y="7379073"/>
          <a:ext cx="314513" cy="298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635000</xdr:colOff>
      <xdr:row>33</xdr:row>
      <xdr:rowOff>149412</xdr:rowOff>
    </xdr:from>
    <xdr:to>
      <xdr:col>20</xdr:col>
      <xdr:colOff>149412</xdr:colOff>
      <xdr:row>41</xdr:row>
      <xdr:rowOff>59765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id="{F04189BE-2074-4C4F-B588-6CBF7075BB08}"/>
            </a:ext>
          </a:extLst>
        </xdr:cNvPr>
        <xdr:cNvCxnSpPr/>
      </xdr:nvCxnSpPr>
      <xdr:spPr>
        <a:xfrm flipV="1">
          <a:off x="13284200" y="6061262"/>
          <a:ext cx="212912" cy="1332753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575235</xdr:colOff>
      <xdr:row>35</xdr:row>
      <xdr:rowOff>52294</xdr:rowOff>
    </xdr:from>
    <xdr:to>
      <xdr:col>20</xdr:col>
      <xdr:colOff>201706</xdr:colOff>
      <xdr:row>36</xdr:row>
      <xdr:rowOff>156882</xdr:rowOff>
    </xdr:to>
    <xdr:sp macro="" textlink="">
      <xdr:nvSpPr>
        <xdr:cNvPr id="19" name="文本框 18">
          <a:extLst>
            <a:ext uri="{FF2B5EF4-FFF2-40B4-BE49-F238E27FC236}">
              <a16:creationId xmlns:a16="http://schemas.microsoft.com/office/drawing/2014/main" id="{4DE437BD-B172-47CE-982F-611C6A95BC5F}"/>
            </a:ext>
          </a:extLst>
        </xdr:cNvPr>
        <xdr:cNvSpPr txBox="1"/>
      </xdr:nvSpPr>
      <xdr:spPr>
        <a:xfrm>
          <a:off x="13224435" y="6319744"/>
          <a:ext cx="324971" cy="282388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 i="1"/>
            <a:t>φ</a:t>
          </a:r>
          <a:endParaRPr lang="zh-SG" altLang="en-US" sz="1100" i="1"/>
        </a:p>
      </xdr:txBody>
    </xdr:sp>
    <xdr:clientData/>
  </xdr:twoCellAnchor>
  <xdr:twoCellAnchor editAs="oneCell">
    <xdr:from>
      <xdr:col>0</xdr:col>
      <xdr:colOff>638085</xdr:colOff>
      <xdr:row>42</xdr:row>
      <xdr:rowOff>25400</xdr:rowOff>
    </xdr:from>
    <xdr:to>
      <xdr:col>2</xdr:col>
      <xdr:colOff>463647</xdr:colOff>
      <xdr:row>50</xdr:row>
      <xdr:rowOff>82676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8915BB38-A9A0-7B82-FA7F-21A1698D2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38085" y="7537450"/>
          <a:ext cx="1146362" cy="1486026"/>
        </a:xfrm>
        <a:prstGeom prst="rect">
          <a:avLst/>
        </a:prstGeom>
      </xdr:spPr>
    </xdr:pic>
    <xdr:clientData/>
  </xdr:twoCellAnchor>
  <xdr:twoCellAnchor editAs="oneCell">
    <xdr:from>
      <xdr:col>2</xdr:col>
      <xdr:colOff>507999</xdr:colOff>
      <xdr:row>42</xdr:row>
      <xdr:rowOff>31686</xdr:rowOff>
    </xdr:from>
    <xdr:to>
      <xdr:col>4</xdr:col>
      <xdr:colOff>368233</xdr:colOff>
      <xdr:row>50</xdr:row>
      <xdr:rowOff>90715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6123467B-B15A-931E-5C1A-3C600B3F0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32428" y="7651686"/>
          <a:ext cx="1112091" cy="1510458"/>
        </a:xfrm>
        <a:prstGeom prst="rect">
          <a:avLst/>
        </a:prstGeom>
      </xdr:spPr>
    </xdr:pic>
    <xdr:clientData/>
  </xdr:twoCellAnchor>
  <xdr:twoCellAnchor editAs="oneCell">
    <xdr:from>
      <xdr:col>4</xdr:col>
      <xdr:colOff>456816</xdr:colOff>
      <xdr:row>42</xdr:row>
      <xdr:rowOff>9071</xdr:rowOff>
    </xdr:from>
    <xdr:to>
      <xdr:col>6</xdr:col>
      <xdr:colOff>526142</xdr:colOff>
      <xdr:row>50</xdr:row>
      <xdr:rowOff>99943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64A022C4-A5C8-679F-839E-7670DEC91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033102" y="7629071"/>
          <a:ext cx="1230469" cy="1542301"/>
        </a:xfrm>
        <a:prstGeom prst="rect">
          <a:avLst/>
        </a:prstGeom>
      </xdr:spPr>
    </xdr:pic>
    <xdr:clientData/>
  </xdr:twoCellAnchor>
  <xdr:twoCellAnchor editAs="oneCell">
    <xdr:from>
      <xdr:col>6</xdr:col>
      <xdr:colOff>563760</xdr:colOff>
      <xdr:row>42</xdr:row>
      <xdr:rowOff>0</xdr:rowOff>
    </xdr:from>
    <xdr:to>
      <xdr:col>8</xdr:col>
      <xdr:colOff>625928</xdr:colOff>
      <xdr:row>50</xdr:row>
      <xdr:rowOff>101077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1D682708-CEC4-5E3F-F3C2-CAB4356A1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301189" y="7620000"/>
          <a:ext cx="1268668" cy="1552506"/>
        </a:xfrm>
        <a:prstGeom prst="rect">
          <a:avLst/>
        </a:prstGeom>
      </xdr:spPr>
    </xdr:pic>
    <xdr:clientData/>
  </xdr:twoCellAnchor>
  <xdr:twoCellAnchor editAs="oneCell">
    <xdr:from>
      <xdr:col>9</xdr:col>
      <xdr:colOff>26260</xdr:colOff>
      <xdr:row>42</xdr:row>
      <xdr:rowOff>9072</xdr:rowOff>
    </xdr:from>
    <xdr:to>
      <xdr:col>10</xdr:col>
      <xdr:colOff>589842</xdr:colOff>
      <xdr:row>50</xdr:row>
      <xdr:rowOff>127001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E491A4E8-E446-C54C-9AA4-1ECFA937F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32403" y="7629072"/>
          <a:ext cx="1225796" cy="1569358"/>
        </a:xfrm>
        <a:prstGeom prst="rect">
          <a:avLst/>
        </a:prstGeom>
      </xdr:spPr>
    </xdr:pic>
    <xdr:clientData/>
  </xdr:twoCellAnchor>
  <xdr:twoCellAnchor editAs="oneCell">
    <xdr:from>
      <xdr:col>11</xdr:col>
      <xdr:colOff>15127</xdr:colOff>
      <xdr:row>42</xdr:row>
      <xdr:rowOff>18145</xdr:rowOff>
    </xdr:from>
    <xdr:to>
      <xdr:col>12</xdr:col>
      <xdr:colOff>535215</xdr:colOff>
      <xdr:row>50</xdr:row>
      <xdr:rowOff>139497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6E195124-A724-8D80-84D9-AC1C50D8E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909413" y="7638145"/>
          <a:ext cx="1218588" cy="1572781"/>
        </a:xfrm>
        <a:prstGeom prst="rect">
          <a:avLst/>
        </a:prstGeom>
      </xdr:spPr>
    </xdr:pic>
    <xdr:clientData/>
  </xdr:twoCellAnchor>
  <xdr:twoCellAnchor editAs="oneCell">
    <xdr:from>
      <xdr:col>4</xdr:col>
      <xdr:colOff>306234</xdr:colOff>
      <xdr:row>53</xdr:row>
      <xdr:rowOff>117928</xdr:rowOff>
    </xdr:from>
    <xdr:to>
      <xdr:col>6</xdr:col>
      <xdr:colOff>490855</xdr:colOff>
      <xdr:row>63</xdr:row>
      <xdr:rowOff>35711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CC082113-B036-C3B8-AD44-C792DCF08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882520" y="9733642"/>
          <a:ext cx="1345764" cy="1730948"/>
        </a:xfrm>
        <a:prstGeom prst="rect">
          <a:avLst/>
        </a:prstGeom>
      </xdr:spPr>
    </xdr:pic>
    <xdr:clientData/>
  </xdr:twoCellAnchor>
  <xdr:twoCellAnchor editAs="oneCell">
    <xdr:from>
      <xdr:col>6</xdr:col>
      <xdr:colOff>561150</xdr:colOff>
      <xdr:row>53</xdr:row>
      <xdr:rowOff>98770</xdr:rowOff>
    </xdr:from>
    <xdr:to>
      <xdr:col>9</xdr:col>
      <xdr:colOff>81643</xdr:colOff>
      <xdr:row>63</xdr:row>
      <xdr:rowOff>56257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2C6CB8E9-0994-C00D-4D4C-AD4BEFD60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298579" y="9714484"/>
          <a:ext cx="1389207" cy="1770652"/>
        </a:xfrm>
        <a:prstGeom prst="rect">
          <a:avLst/>
        </a:prstGeom>
      </xdr:spPr>
    </xdr:pic>
    <xdr:clientData/>
  </xdr:twoCellAnchor>
  <xdr:twoCellAnchor editAs="oneCell">
    <xdr:from>
      <xdr:col>9</xdr:col>
      <xdr:colOff>181428</xdr:colOff>
      <xdr:row>53</xdr:row>
      <xdr:rowOff>81643</xdr:rowOff>
    </xdr:from>
    <xdr:to>
      <xdr:col>11</xdr:col>
      <xdr:colOff>199570</xdr:colOff>
      <xdr:row>63</xdr:row>
      <xdr:rowOff>45959</xdr:rowOff>
    </xdr:to>
    <xdr:pic>
      <xdr:nvPicPr>
        <xdr:cNvPr id="42" name="图片 41">
          <a:extLst>
            <a:ext uri="{FF2B5EF4-FFF2-40B4-BE49-F238E27FC236}">
              <a16:creationId xmlns:a16="http://schemas.microsoft.com/office/drawing/2014/main" id="{BCDC4E41-5230-92A0-C629-38DA6CB29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787571" y="9697357"/>
          <a:ext cx="1306285" cy="1777481"/>
        </a:xfrm>
        <a:prstGeom prst="rect">
          <a:avLst/>
        </a:prstGeom>
      </xdr:spPr>
    </xdr:pic>
    <xdr:clientData/>
  </xdr:twoCellAnchor>
  <xdr:twoCellAnchor editAs="oneCell">
    <xdr:from>
      <xdr:col>11</xdr:col>
      <xdr:colOff>208643</xdr:colOff>
      <xdr:row>53</xdr:row>
      <xdr:rowOff>99786</xdr:rowOff>
    </xdr:from>
    <xdr:to>
      <xdr:col>13</xdr:col>
      <xdr:colOff>140732</xdr:colOff>
      <xdr:row>63</xdr:row>
      <xdr:rowOff>19264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84FA696D-767E-B553-7C13-FFC70B9F5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102929" y="9715500"/>
          <a:ext cx="1410732" cy="1732643"/>
        </a:xfrm>
        <a:prstGeom prst="rect">
          <a:avLst/>
        </a:prstGeom>
      </xdr:spPr>
    </xdr:pic>
    <xdr:clientData/>
  </xdr:twoCellAnchor>
  <xdr:twoCellAnchor editAs="oneCell">
    <xdr:from>
      <xdr:col>2</xdr:col>
      <xdr:colOff>172358</xdr:colOff>
      <xdr:row>53</xdr:row>
      <xdr:rowOff>59610</xdr:rowOff>
    </xdr:from>
    <xdr:to>
      <xdr:col>4</xdr:col>
      <xdr:colOff>263073</xdr:colOff>
      <xdr:row>63</xdr:row>
      <xdr:rowOff>22104</xdr:rowOff>
    </xdr:to>
    <xdr:pic>
      <xdr:nvPicPr>
        <xdr:cNvPr id="44" name="图片 43">
          <a:extLst>
            <a:ext uri="{FF2B5EF4-FFF2-40B4-BE49-F238E27FC236}">
              <a16:creationId xmlns:a16="http://schemas.microsoft.com/office/drawing/2014/main" id="{6C0C5EC5-4B88-B8B1-A23F-784A0041E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496787" y="9675324"/>
          <a:ext cx="1342572" cy="1775659"/>
        </a:xfrm>
        <a:prstGeom prst="rect">
          <a:avLst/>
        </a:prstGeom>
      </xdr:spPr>
    </xdr:pic>
    <xdr:clientData/>
  </xdr:twoCellAnchor>
  <xdr:twoCellAnchor>
    <xdr:from>
      <xdr:col>7</xdr:col>
      <xdr:colOff>119530</xdr:colOff>
      <xdr:row>7</xdr:row>
      <xdr:rowOff>149412</xdr:rowOff>
    </xdr:from>
    <xdr:to>
      <xdr:col>7</xdr:col>
      <xdr:colOff>515471</xdr:colOff>
      <xdr:row>8</xdr:row>
      <xdr:rowOff>156882</xdr:rowOff>
    </xdr:to>
    <xdr:sp macro="" textlink="">
      <xdr:nvSpPr>
        <xdr:cNvPr id="20" name="箭头: 右 19">
          <a:extLst>
            <a:ext uri="{FF2B5EF4-FFF2-40B4-BE49-F238E27FC236}">
              <a16:creationId xmlns:a16="http://schemas.microsoft.com/office/drawing/2014/main" id="{ECBB57DE-E831-70EA-86CD-B2CE4385129F}"/>
            </a:ext>
          </a:extLst>
        </xdr:cNvPr>
        <xdr:cNvSpPr/>
      </xdr:nvSpPr>
      <xdr:spPr>
        <a:xfrm>
          <a:off x="4430059" y="1411941"/>
          <a:ext cx="395941" cy="18676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SG" altLang="en-US" sz="1100"/>
        </a:p>
      </xdr:txBody>
    </xdr:sp>
    <xdr:clientData/>
  </xdr:twoCellAnchor>
  <xdr:twoCellAnchor>
    <xdr:from>
      <xdr:col>20</xdr:col>
      <xdr:colOff>525929</xdr:colOff>
      <xdr:row>15</xdr:row>
      <xdr:rowOff>100106</xdr:rowOff>
    </xdr:from>
    <xdr:to>
      <xdr:col>21</xdr:col>
      <xdr:colOff>219635</xdr:colOff>
      <xdr:row>16</xdr:row>
      <xdr:rowOff>100106</xdr:rowOff>
    </xdr:to>
    <xdr:sp macro="" textlink="">
      <xdr:nvSpPr>
        <xdr:cNvPr id="21" name="箭头: 右 20">
          <a:extLst>
            <a:ext uri="{FF2B5EF4-FFF2-40B4-BE49-F238E27FC236}">
              <a16:creationId xmlns:a16="http://schemas.microsoft.com/office/drawing/2014/main" id="{31F71707-8C0A-420F-9444-A36D5F4BB9F8}"/>
            </a:ext>
          </a:extLst>
        </xdr:cNvPr>
        <xdr:cNvSpPr/>
      </xdr:nvSpPr>
      <xdr:spPr>
        <a:xfrm rot="2547808">
          <a:off x="13860929" y="2804459"/>
          <a:ext cx="395941" cy="18676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SG" altLang="en-US" sz="1100"/>
        </a:p>
      </xdr:txBody>
    </xdr:sp>
    <xdr:clientData/>
  </xdr:twoCellAnchor>
  <xdr:twoCellAnchor>
    <xdr:from>
      <xdr:col>20</xdr:col>
      <xdr:colOff>140447</xdr:colOff>
      <xdr:row>22</xdr:row>
      <xdr:rowOff>162858</xdr:rowOff>
    </xdr:from>
    <xdr:to>
      <xdr:col>20</xdr:col>
      <xdr:colOff>536388</xdr:colOff>
      <xdr:row>23</xdr:row>
      <xdr:rowOff>170329</xdr:rowOff>
    </xdr:to>
    <xdr:sp macro="" textlink="">
      <xdr:nvSpPr>
        <xdr:cNvPr id="22" name="箭头: 右 21">
          <a:extLst>
            <a:ext uri="{FF2B5EF4-FFF2-40B4-BE49-F238E27FC236}">
              <a16:creationId xmlns:a16="http://schemas.microsoft.com/office/drawing/2014/main" id="{88EF4D76-A690-4B0A-A146-FC365575B534}"/>
            </a:ext>
          </a:extLst>
        </xdr:cNvPr>
        <xdr:cNvSpPr/>
      </xdr:nvSpPr>
      <xdr:spPr>
        <a:xfrm rot="10800000">
          <a:off x="13475447" y="4144682"/>
          <a:ext cx="395941" cy="18676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SG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605117</xdr:colOff>
      <xdr:row>33</xdr:row>
      <xdr:rowOff>97117</xdr:rowOff>
    </xdr:from>
    <xdr:to>
      <xdr:col>19</xdr:col>
      <xdr:colOff>627529</xdr:colOff>
      <xdr:row>41</xdr:row>
      <xdr:rowOff>29883</xdr:rowOff>
    </xdr:to>
    <xdr:cxnSp macro="">
      <xdr:nvCxnSpPr>
        <xdr:cNvPr id="2" name="直接箭头连接符 1">
          <a:extLst>
            <a:ext uri="{FF2B5EF4-FFF2-40B4-BE49-F238E27FC236}">
              <a16:creationId xmlns:a16="http://schemas.microsoft.com/office/drawing/2014/main" id="{EF673DE6-1C3D-4CD5-BF0F-989E8BE499D4}"/>
            </a:ext>
          </a:extLst>
        </xdr:cNvPr>
        <xdr:cNvCxnSpPr/>
      </xdr:nvCxnSpPr>
      <xdr:spPr>
        <a:xfrm flipH="1" flipV="1">
          <a:off x="13254317" y="6008967"/>
          <a:ext cx="22412" cy="135516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623046</xdr:colOff>
      <xdr:row>41</xdr:row>
      <xdr:rowOff>44824</xdr:rowOff>
    </xdr:from>
    <xdr:to>
      <xdr:col>20</xdr:col>
      <xdr:colOff>530411</xdr:colOff>
      <xdr:row>41</xdr:row>
      <xdr:rowOff>47812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34349C14-2137-41DB-9A82-2FF233C0022B}"/>
            </a:ext>
          </a:extLst>
        </xdr:cNvPr>
        <xdr:cNvCxnSpPr/>
      </xdr:nvCxnSpPr>
      <xdr:spPr>
        <a:xfrm flipV="1">
          <a:off x="13272246" y="7379074"/>
          <a:ext cx="605865" cy="298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129419</xdr:colOff>
      <xdr:row>46</xdr:row>
      <xdr:rowOff>45164</xdr:rowOff>
    </xdr:from>
    <xdr:to>
      <xdr:col>18</xdr:col>
      <xdr:colOff>154600</xdr:colOff>
      <xdr:row>56</xdr:row>
      <xdr:rowOff>153406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CE54024-E41E-4A5C-BC72-91EFC8705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6019" y="8274764"/>
          <a:ext cx="3619281" cy="1901183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20</xdr:row>
      <xdr:rowOff>25401</xdr:rowOff>
    </xdr:from>
    <xdr:to>
      <xdr:col>2</xdr:col>
      <xdr:colOff>519774</xdr:colOff>
      <xdr:row>28</xdr:row>
      <xdr:rowOff>76201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D84BDBE6-C1A6-45AB-9A4A-B6332D8B52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613151"/>
          <a:ext cx="1154774" cy="1473200"/>
        </a:xfrm>
        <a:prstGeom prst="rect">
          <a:avLst/>
        </a:prstGeom>
      </xdr:spPr>
    </xdr:pic>
    <xdr:clientData/>
  </xdr:twoCellAnchor>
  <xdr:twoCellAnchor editAs="oneCell">
    <xdr:from>
      <xdr:col>3</xdr:col>
      <xdr:colOff>31750</xdr:colOff>
      <xdr:row>20</xdr:row>
      <xdr:rowOff>31751</xdr:rowOff>
    </xdr:from>
    <xdr:to>
      <xdr:col>4</xdr:col>
      <xdr:colOff>571500</xdr:colOff>
      <xdr:row>28</xdr:row>
      <xdr:rowOff>90214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F8B9FC79-36ED-443F-BD80-3CA449591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43100" y="3619501"/>
          <a:ext cx="1200150" cy="1480863"/>
        </a:xfrm>
        <a:prstGeom prst="rect">
          <a:avLst/>
        </a:prstGeom>
      </xdr:spPr>
    </xdr:pic>
    <xdr:clientData/>
  </xdr:twoCellAnchor>
  <xdr:twoCellAnchor editAs="oneCell">
    <xdr:from>
      <xdr:col>9</xdr:col>
      <xdr:colOff>94824</xdr:colOff>
      <xdr:row>30</xdr:row>
      <xdr:rowOff>14035</xdr:rowOff>
    </xdr:from>
    <xdr:to>
      <xdr:col>11</xdr:col>
      <xdr:colOff>66055</xdr:colOff>
      <xdr:row>38</xdr:row>
      <xdr:rowOff>158483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26E61C2E-00AA-455A-A82C-D2EB37FDD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00967" y="5456892"/>
          <a:ext cx="1259374" cy="1595877"/>
        </a:xfrm>
        <a:prstGeom prst="rect">
          <a:avLst/>
        </a:prstGeom>
      </xdr:spPr>
    </xdr:pic>
    <xdr:clientData/>
  </xdr:twoCellAnchor>
  <xdr:twoCellAnchor editAs="oneCell">
    <xdr:from>
      <xdr:col>4</xdr:col>
      <xdr:colOff>581309</xdr:colOff>
      <xdr:row>20</xdr:row>
      <xdr:rowOff>14940</xdr:rowOff>
    </xdr:from>
    <xdr:to>
      <xdr:col>7</xdr:col>
      <xdr:colOff>128121</xdr:colOff>
      <xdr:row>28</xdr:row>
      <xdr:rowOff>102910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DBCDAD-399D-41C3-B67D-31BB114AE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53059" y="3602690"/>
          <a:ext cx="1299412" cy="1510370"/>
        </a:xfrm>
        <a:prstGeom prst="rect">
          <a:avLst/>
        </a:prstGeom>
      </xdr:spPr>
    </xdr:pic>
    <xdr:clientData/>
  </xdr:twoCellAnchor>
  <xdr:twoCellAnchor editAs="oneCell">
    <xdr:from>
      <xdr:col>7</xdr:col>
      <xdr:colOff>67519</xdr:colOff>
      <xdr:row>20</xdr:row>
      <xdr:rowOff>14940</xdr:rowOff>
    </xdr:from>
    <xdr:to>
      <xdr:col>8</xdr:col>
      <xdr:colOff>580091</xdr:colOff>
      <xdr:row>28</xdr:row>
      <xdr:rowOff>125758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13734203-CD5C-41DA-9F45-CBD5D7CF6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91869" y="3602690"/>
          <a:ext cx="1122172" cy="1533218"/>
        </a:xfrm>
        <a:prstGeom prst="rect">
          <a:avLst/>
        </a:prstGeom>
      </xdr:spPr>
    </xdr:pic>
    <xdr:clientData/>
  </xdr:twoCellAnchor>
  <xdr:twoCellAnchor editAs="oneCell">
    <xdr:from>
      <xdr:col>8</xdr:col>
      <xdr:colOff>590178</xdr:colOff>
      <xdr:row>20</xdr:row>
      <xdr:rowOff>14940</xdr:rowOff>
    </xdr:from>
    <xdr:to>
      <xdr:col>10</xdr:col>
      <xdr:colOff>521934</xdr:colOff>
      <xdr:row>28</xdr:row>
      <xdr:rowOff>149412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E2E5F184-505B-4DAB-B78F-E7BF2476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24128" y="3602690"/>
          <a:ext cx="1252556" cy="1556872"/>
        </a:xfrm>
        <a:prstGeom prst="rect">
          <a:avLst/>
        </a:prstGeom>
      </xdr:spPr>
    </xdr:pic>
    <xdr:clientData/>
  </xdr:twoCellAnchor>
  <xdr:twoCellAnchor editAs="oneCell">
    <xdr:from>
      <xdr:col>10</xdr:col>
      <xdr:colOff>563656</xdr:colOff>
      <xdr:row>20</xdr:row>
      <xdr:rowOff>7470</xdr:rowOff>
    </xdr:from>
    <xdr:to>
      <xdr:col>12</xdr:col>
      <xdr:colOff>429185</xdr:colOff>
      <xdr:row>28</xdr:row>
      <xdr:rowOff>155452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985AA6A3-4B49-4FEC-B84B-F972F867D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18406" y="3595220"/>
          <a:ext cx="1186329" cy="1570382"/>
        </a:xfrm>
        <a:prstGeom prst="rect">
          <a:avLst/>
        </a:prstGeom>
      </xdr:spPr>
    </xdr:pic>
    <xdr:clientData/>
  </xdr:twoCellAnchor>
  <xdr:twoCellAnchor editAs="oneCell">
    <xdr:from>
      <xdr:col>1</xdr:col>
      <xdr:colOff>22412</xdr:colOff>
      <xdr:row>30</xdr:row>
      <xdr:rowOff>14941</xdr:rowOff>
    </xdr:from>
    <xdr:to>
      <xdr:col>2</xdr:col>
      <xdr:colOff>545352</xdr:colOff>
      <xdr:row>38</xdr:row>
      <xdr:rowOff>87765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F2B6D783-E660-4940-843D-8763AD564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2812" y="5387041"/>
          <a:ext cx="1183340" cy="1501574"/>
        </a:xfrm>
        <a:prstGeom prst="rect">
          <a:avLst/>
        </a:prstGeom>
      </xdr:spPr>
    </xdr:pic>
    <xdr:clientData/>
  </xdr:twoCellAnchor>
  <xdr:twoCellAnchor editAs="oneCell">
    <xdr:from>
      <xdr:col>3</xdr:col>
      <xdr:colOff>29882</xdr:colOff>
      <xdr:row>30</xdr:row>
      <xdr:rowOff>1</xdr:rowOff>
    </xdr:from>
    <xdr:to>
      <xdr:col>4</xdr:col>
      <xdr:colOff>567764</xdr:colOff>
      <xdr:row>38</xdr:row>
      <xdr:rowOff>138116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1B574D59-6F02-482F-8758-4E11832E2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41232" y="5372101"/>
          <a:ext cx="1198282" cy="1566865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635000</xdr:colOff>
      <xdr:row>30</xdr:row>
      <xdr:rowOff>14944</xdr:rowOff>
    </xdr:from>
    <xdr:to>
      <xdr:col>7</xdr:col>
      <xdr:colOff>134834</xdr:colOff>
      <xdr:row>38</xdr:row>
      <xdr:rowOff>134472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A58057B8-BBBF-402A-9DA4-7CBAB8160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206750" y="5387044"/>
          <a:ext cx="1252434" cy="1548278"/>
        </a:xfrm>
        <a:prstGeom prst="rect">
          <a:avLst/>
        </a:prstGeom>
      </xdr:spPr>
    </xdr:pic>
    <xdr:clientData/>
  </xdr:twoCellAnchor>
  <xdr:twoCellAnchor editAs="oneCell">
    <xdr:from>
      <xdr:col>7</xdr:col>
      <xdr:colOff>150318</xdr:colOff>
      <xdr:row>30</xdr:row>
      <xdr:rowOff>4964</xdr:rowOff>
    </xdr:from>
    <xdr:to>
      <xdr:col>9</xdr:col>
      <xdr:colOff>60191</xdr:colOff>
      <xdr:row>38</xdr:row>
      <xdr:rowOff>141942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B56EF97-56C3-47FD-B8A5-01D812B2F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486461" y="5447821"/>
          <a:ext cx="1179873" cy="1588407"/>
        </a:xfrm>
        <a:prstGeom prst="rect">
          <a:avLst/>
        </a:prstGeom>
      </xdr:spPr>
    </xdr:pic>
    <xdr:clientData/>
  </xdr:twoCellAnchor>
  <xdr:twoCellAnchor>
    <xdr:from>
      <xdr:col>19</xdr:col>
      <xdr:colOff>605117</xdr:colOff>
      <xdr:row>33</xdr:row>
      <xdr:rowOff>97117</xdr:rowOff>
    </xdr:from>
    <xdr:to>
      <xdr:col>19</xdr:col>
      <xdr:colOff>627529</xdr:colOff>
      <xdr:row>41</xdr:row>
      <xdr:rowOff>29883</xdr:rowOff>
    </xdr:to>
    <xdr:cxnSp macro="">
      <xdr:nvCxnSpPr>
        <xdr:cNvPr id="16" name="直接箭头连接符 15">
          <a:extLst>
            <a:ext uri="{FF2B5EF4-FFF2-40B4-BE49-F238E27FC236}">
              <a16:creationId xmlns:a16="http://schemas.microsoft.com/office/drawing/2014/main" id="{2F09F5A7-CE2A-4A9C-94CF-0CDB89B96A8A}"/>
            </a:ext>
          </a:extLst>
        </xdr:cNvPr>
        <xdr:cNvCxnSpPr/>
      </xdr:nvCxnSpPr>
      <xdr:spPr>
        <a:xfrm flipH="1" flipV="1">
          <a:off x="13254317" y="6008967"/>
          <a:ext cx="22412" cy="135516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623046</xdr:colOff>
      <xdr:row>41</xdr:row>
      <xdr:rowOff>44823</xdr:rowOff>
    </xdr:from>
    <xdr:to>
      <xdr:col>20</xdr:col>
      <xdr:colOff>239059</xdr:colOff>
      <xdr:row>41</xdr:row>
      <xdr:rowOff>47812</xdr:rowOff>
    </xdr:to>
    <xdr:cxnSp macro="">
      <xdr:nvCxnSpPr>
        <xdr:cNvPr id="17" name="直接箭头连接符 16">
          <a:extLst>
            <a:ext uri="{FF2B5EF4-FFF2-40B4-BE49-F238E27FC236}">
              <a16:creationId xmlns:a16="http://schemas.microsoft.com/office/drawing/2014/main" id="{DD3E1240-0A87-4554-90BF-C979E45DB919}"/>
            </a:ext>
          </a:extLst>
        </xdr:cNvPr>
        <xdr:cNvCxnSpPr/>
      </xdr:nvCxnSpPr>
      <xdr:spPr>
        <a:xfrm flipV="1">
          <a:off x="13272246" y="7379073"/>
          <a:ext cx="314513" cy="298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635000</xdr:colOff>
      <xdr:row>33</xdr:row>
      <xdr:rowOff>149412</xdr:rowOff>
    </xdr:from>
    <xdr:to>
      <xdr:col>20</xdr:col>
      <xdr:colOff>149412</xdr:colOff>
      <xdr:row>41</xdr:row>
      <xdr:rowOff>59765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id="{DDCEC46F-48A0-4751-B29D-9AC6B5677336}"/>
            </a:ext>
          </a:extLst>
        </xdr:cNvPr>
        <xdr:cNvCxnSpPr/>
      </xdr:nvCxnSpPr>
      <xdr:spPr>
        <a:xfrm flipV="1">
          <a:off x="13284200" y="6061262"/>
          <a:ext cx="212912" cy="1332753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575235</xdr:colOff>
      <xdr:row>35</xdr:row>
      <xdr:rowOff>52294</xdr:rowOff>
    </xdr:from>
    <xdr:to>
      <xdr:col>20</xdr:col>
      <xdr:colOff>201706</xdr:colOff>
      <xdr:row>36</xdr:row>
      <xdr:rowOff>156882</xdr:rowOff>
    </xdr:to>
    <xdr:sp macro="" textlink="">
      <xdr:nvSpPr>
        <xdr:cNvPr id="19" name="文本框 18">
          <a:extLst>
            <a:ext uri="{FF2B5EF4-FFF2-40B4-BE49-F238E27FC236}">
              <a16:creationId xmlns:a16="http://schemas.microsoft.com/office/drawing/2014/main" id="{43FAFBF5-A493-47EF-B710-8586289CD733}"/>
            </a:ext>
          </a:extLst>
        </xdr:cNvPr>
        <xdr:cNvSpPr txBox="1"/>
      </xdr:nvSpPr>
      <xdr:spPr>
        <a:xfrm>
          <a:off x="13224435" y="6319744"/>
          <a:ext cx="324971" cy="282388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 i="1"/>
            <a:t>φ</a:t>
          </a:r>
          <a:endParaRPr lang="zh-SG" altLang="en-US" sz="1100" i="1"/>
        </a:p>
      </xdr:txBody>
    </xdr:sp>
    <xdr:clientData/>
  </xdr:twoCellAnchor>
  <xdr:twoCellAnchor editAs="oneCell">
    <xdr:from>
      <xdr:col>0</xdr:col>
      <xdr:colOff>603250</xdr:colOff>
      <xdr:row>42</xdr:row>
      <xdr:rowOff>19050</xdr:rowOff>
    </xdr:from>
    <xdr:to>
      <xdr:col>2</xdr:col>
      <xdr:colOff>489801</xdr:colOff>
      <xdr:row>50</xdr:row>
      <xdr:rowOff>88900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59E3212B-F081-D933-80A1-45FB9F5A4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3250" y="7531100"/>
          <a:ext cx="1207351" cy="1511300"/>
        </a:xfrm>
        <a:prstGeom prst="rect">
          <a:avLst/>
        </a:prstGeom>
      </xdr:spPr>
    </xdr:pic>
    <xdr:clientData/>
  </xdr:twoCellAnchor>
  <xdr:twoCellAnchor editAs="oneCell">
    <xdr:from>
      <xdr:col>2</xdr:col>
      <xdr:colOff>497921</xdr:colOff>
      <xdr:row>42</xdr:row>
      <xdr:rowOff>27214</xdr:rowOff>
    </xdr:from>
    <xdr:to>
      <xdr:col>4</xdr:col>
      <xdr:colOff>435428</xdr:colOff>
      <xdr:row>50</xdr:row>
      <xdr:rowOff>104967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0CD28A31-5517-0E6A-41B7-1600F6D25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22350" y="7647214"/>
          <a:ext cx="1189364" cy="1529182"/>
        </a:xfrm>
        <a:prstGeom prst="rect">
          <a:avLst/>
        </a:prstGeom>
      </xdr:spPr>
    </xdr:pic>
    <xdr:clientData/>
  </xdr:twoCellAnchor>
  <xdr:twoCellAnchor editAs="oneCell">
    <xdr:from>
      <xdr:col>4</xdr:col>
      <xdr:colOff>453572</xdr:colOff>
      <xdr:row>42</xdr:row>
      <xdr:rowOff>36287</xdr:rowOff>
    </xdr:from>
    <xdr:to>
      <xdr:col>6</xdr:col>
      <xdr:colOff>511220</xdr:colOff>
      <xdr:row>50</xdr:row>
      <xdr:rowOff>117928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1B645E9E-0298-FE1B-421D-3B071FFB2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029858" y="7656287"/>
          <a:ext cx="1218791" cy="1533070"/>
        </a:xfrm>
        <a:prstGeom prst="rect">
          <a:avLst/>
        </a:prstGeom>
      </xdr:spPr>
    </xdr:pic>
    <xdr:clientData/>
  </xdr:twoCellAnchor>
  <xdr:twoCellAnchor editAs="oneCell">
    <xdr:from>
      <xdr:col>6</xdr:col>
      <xdr:colOff>544285</xdr:colOff>
      <xdr:row>42</xdr:row>
      <xdr:rowOff>45357</xdr:rowOff>
    </xdr:from>
    <xdr:to>
      <xdr:col>8</xdr:col>
      <xdr:colOff>522707</xdr:colOff>
      <xdr:row>50</xdr:row>
      <xdr:rowOff>126222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4FEF7559-1549-8F59-46A8-2B2EC9D1F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281714" y="7665357"/>
          <a:ext cx="1184922" cy="1532294"/>
        </a:xfrm>
        <a:prstGeom prst="rect">
          <a:avLst/>
        </a:prstGeom>
      </xdr:spPr>
    </xdr:pic>
    <xdr:clientData/>
  </xdr:twoCellAnchor>
  <xdr:twoCellAnchor editAs="oneCell">
    <xdr:from>
      <xdr:col>8</xdr:col>
      <xdr:colOff>553357</xdr:colOff>
      <xdr:row>42</xdr:row>
      <xdr:rowOff>36286</xdr:rowOff>
    </xdr:from>
    <xdr:to>
      <xdr:col>10</xdr:col>
      <xdr:colOff>498814</xdr:colOff>
      <xdr:row>50</xdr:row>
      <xdr:rowOff>136071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823D006C-2200-FA55-2EAC-790E16368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97286" y="7656286"/>
          <a:ext cx="1269885" cy="1551214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571501</xdr:colOff>
      <xdr:row>42</xdr:row>
      <xdr:rowOff>27215</xdr:rowOff>
    </xdr:from>
    <xdr:to>
      <xdr:col>12</xdr:col>
      <xdr:colOff>453571</xdr:colOff>
      <xdr:row>50</xdr:row>
      <xdr:rowOff>140343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4DCDAAF2-128D-716B-D627-D755F4488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839858" y="7647215"/>
          <a:ext cx="1206499" cy="1564557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508001</xdr:colOff>
      <xdr:row>53</xdr:row>
      <xdr:rowOff>54428</xdr:rowOff>
    </xdr:from>
    <xdr:to>
      <xdr:col>4</xdr:col>
      <xdr:colOff>31488</xdr:colOff>
      <xdr:row>63</xdr:row>
      <xdr:rowOff>63500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004C6DB2-E231-0E45-E6DB-FF36595D9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170215" y="9670142"/>
          <a:ext cx="1437559" cy="1823358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53</xdr:row>
      <xdr:rowOff>63500</xdr:rowOff>
    </xdr:from>
    <xdr:to>
      <xdr:col>6</xdr:col>
      <xdr:colOff>281214</xdr:colOff>
      <xdr:row>63</xdr:row>
      <xdr:rowOff>74937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5463006A-B853-B122-8902-115DBD64D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639786" y="9679214"/>
          <a:ext cx="1378857" cy="1825723"/>
        </a:xfrm>
        <a:prstGeom prst="rect">
          <a:avLst/>
        </a:prstGeom>
      </xdr:spPr>
    </xdr:pic>
    <xdr:clientData/>
  </xdr:twoCellAnchor>
  <xdr:twoCellAnchor editAs="oneCell">
    <xdr:from>
      <xdr:col>6</xdr:col>
      <xdr:colOff>326571</xdr:colOff>
      <xdr:row>53</xdr:row>
      <xdr:rowOff>63501</xdr:rowOff>
    </xdr:from>
    <xdr:to>
      <xdr:col>8</xdr:col>
      <xdr:colOff>553357</xdr:colOff>
      <xdr:row>63</xdr:row>
      <xdr:rowOff>95949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3241D250-AEFE-F0C6-D68A-2DF2BDD34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064000" y="9679215"/>
          <a:ext cx="1433286" cy="1846734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571500</xdr:colOff>
      <xdr:row>53</xdr:row>
      <xdr:rowOff>54429</xdr:rowOff>
    </xdr:from>
    <xdr:to>
      <xdr:col>11</xdr:col>
      <xdr:colOff>76313</xdr:colOff>
      <xdr:row>63</xdr:row>
      <xdr:rowOff>99786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45A8397B-5863-D614-52E0-5BB5091F5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515429" y="9670143"/>
          <a:ext cx="1455170" cy="1859643"/>
        </a:xfrm>
        <a:prstGeom prst="rect">
          <a:avLst/>
        </a:prstGeom>
      </xdr:spPr>
    </xdr:pic>
    <xdr:clientData/>
  </xdr:twoCellAnchor>
  <xdr:twoCellAnchor editAs="oneCell">
    <xdr:from>
      <xdr:col>11</xdr:col>
      <xdr:colOff>99786</xdr:colOff>
      <xdr:row>53</xdr:row>
      <xdr:rowOff>54429</xdr:rowOff>
    </xdr:from>
    <xdr:to>
      <xdr:col>13</xdr:col>
      <xdr:colOff>72526</xdr:colOff>
      <xdr:row>63</xdr:row>
      <xdr:rowOff>108857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57C613CA-28ED-7392-91C0-12D7A493E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994072" y="9670143"/>
          <a:ext cx="1451383" cy="1868714"/>
        </a:xfrm>
        <a:prstGeom prst="rect">
          <a:avLst/>
        </a:prstGeom>
      </xdr:spPr>
    </xdr:pic>
    <xdr:clientData/>
  </xdr:twoCellAnchor>
  <xdr:twoCellAnchor>
    <xdr:from>
      <xdr:col>7</xdr:col>
      <xdr:colOff>139700</xdr:colOff>
      <xdr:row>7</xdr:row>
      <xdr:rowOff>139700</xdr:rowOff>
    </xdr:from>
    <xdr:to>
      <xdr:col>7</xdr:col>
      <xdr:colOff>535641</xdr:colOff>
      <xdr:row>8</xdr:row>
      <xdr:rowOff>148665</xdr:rowOff>
    </xdr:to>
    <xdr:sp macro="" textlink="">
      <xdr:nvSpPr>
        <xdr:cNvPr id="20" name="箭头: 右 19">
          <a:extLst>
            <a:ext uri="{FF2B5EF4-FFF2-40B4-BE49-F238E27FC236}">
              <a16:creationId xmlns:a16="http://schemas.microsoft.com/office/drawing/2014/main" id="{DC542171-E486-40BC-8692-3F8C83FCBB2F}"/>
            </a:ext>
          </a:extLst>
        </xdr:cNvPr>
        <xdr:cNvSpPr/>
      </xdr:nvSpPr>
      <xdr:spPr>
        <a:xfrm>
          <a:off x="4464050" y="1390650"/>
          <a:ext cx="395941" cy="18676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SG" altLang="en-US" sz="1100"/>
        </a:p>
      </xdr:txBody>
    </xdr:sp>
    <xdr:clientData/>
  </xdr:twoCellAnchor>
  <xdr:twoCellAnchor>
    <xdr:from>
      <xdr:col>20</xdr:col>
      <xdr:colOff>547220</xdr:colOff>
      <xdr:row>15</xdr:row>
      <xdr:rowOff>103468</xdr:rowOff>
    </xdr:from>
    <xdr:to>
      <xdr:col>21</xdr:col>
      <xdr:colOff>244661</xdr:colOff>
      <xdr:row>16</xdr:row>
      <xdr:rowOff>106083</xdr:rowOff>
    </xdr:to>
    <xdr:sp macro="" textlink="">
      <xdr:nvSpPr>
        <xdr:cNvPr id="21" name="箭头: 右 20">
          <a:extLst>
            <a:ext uri="{FF2B5EF4-FFF2-40B4-BE49-F238E27FC236}">
              <a16:creationId xmlns:a16="http://schemas.microsoft.com/office/drawing/2014/main" id="{F5A5D317-B703-4EC0-9161-BF9DFBAE9BDF}"/>
            </a:ext>
          </a:extLst>
        </xdr:cNvPr>
        <xdr:cNvSpPr/>
      </xdr:nvSpPr>
      <xdr:spPr>
        <a:xfrm rot="2547808">
          <a:off x="13894920" y="2783168"/>
          <a:ext cx="395941" cy="18676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SG" altLang="en-US" sz="1100"/>
        </a:p>
      </xdr:txBody>
    </xdr:sp>
    <xdr:clientData/>
  </xdr:twoCellAnchor>
  <xdr:twoCellAnchor>
    <xdr:from>
      <xdr:col>20</xdr:col>
      <xdr:colOff>161738</xdr:colOff>
      <xdr:row>23</xdr:row>
      <xdr:rowOff>2241</xdr:rowOff>
    </xdr:from>
    <xdr:to>
      <xdr:col>20</xdr:col>
      <xdr:colOff>557679</xdr:colOff>
      <xdr:row>24</xdr:row>
      <xdr:rowOff>11206</xdr:rowOff>
    </xdr:to>
    <xdr:sp macro="" textlink="">
      <xdr:nvSpPr>
        <xdr:cNvPr id="22" name="箭头: 右 21">
          <a:extLst>
            <a:ext uri="{FF2B5EF4-FFF2-40B4-BE49-F238E27FC236}">
              <a16:creationId xmlns:a16="http://schemas.microsoft.com/office/drawing/2014/main" id="{51982F6D-0AEE-4358-A744-C04B36850CC2}"/>
            </a:ext>
          </a:extLst>
        </xdr:cNvPr>
        <xdr:cNvSpPr/>
      </xdr:nvSpPr>
      <xdr:spPr>
        <a:xfrm rot="10800000">
          <a:off x="13509438" y="4123391"/>
          <a:ext cx="395941" cy="18676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SG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6997E-7056-47C3-9BAB-204D6DBD42BE}">
  <dimension ref="A2:O58"/>
  <sheetViews>
    <sheetView workbookViewId="0">
      <selection activeCell="E29" sqref="E29"/>
    </sheetView>
  </sheetViews>
  <sheetFormatPr defaultRowHeight="14" x14ac:dyDescent="0.3"/>
  <cols>
    <col min="4" max="4" width="10.25" bestFit="1" customWidth="1"/>
    <col min="5" max="5" width="14.25" customWidth="1"/>
    <col min="6" max="9" width="10.08203125" bestFit="1" customWidth="1"/>
    <col min="10" max="10" width="11.83203125" bestFit="1" customWidth="1"/>
  </cols>
  <sheetData>
    <row r="2" spans="1:15" x14ac:dyDescent="0.3">
      <c r="A2" t="s">
        <v>61</v>
      </c>
      <c r="B2" t="s">
        <v>63</v>
      </c>
      <c r="C2" t="s">
        <v>58</v>
      </c>
      <c r="D2" t="s">
        <v>65</v>
      </c>
      <c r="E2" t="s">
        <v>62</v>
      </c>
      <c r="F2" t="s">
        <v>57</v>
      </c>
      <c r="G2" t="s">
        <v>64</v>
      </c>
      <c r="H2" t="s">
        <v>52</v>
      </c>
      <c r="I2" t="s">
        <v>0</v>
      </c>
    </row>
    <row r="3" spans="1:15" x14ac:dyDescent="0.3">
      <c r="A3">
        <v>1</v>
      </c>
      <c r="B3" s="123">
        <f t="shared" ref="B3:B13" si="0">C3/$H$3</f>
        <v>0.2909411764705882</v>
      </c>
      <c r="C3" s="1">
        <v>2.4729999999999999</v>
      </c>
      <c r="D3" s="122">
        <f t="shared" ref="D3:D13" si="1">G3/$H$3</f>
        <v>0.18181818181818182</v>
      </c>
      <c r="E3">
        <v>10</v>
      </c>
      <c r="G3" s="124">
        <v>1.5454545454545454</v>
      </c>
      <c r="H3">
        <v>8.5</v>
      </c>
      <c r="I3" s="125">
        <v>3564921.9860042287</v>
      </c>
    </row>
    <row r="4" spans="1:15" x14ac:dyDescent="0.3">
      <c r="A4">
        <v>2</v>
      </c>
      <c r="B4" s="123">
        <f t="shared" si="0"/>
        <v>0.36184705882352941</v>
      </c>
      <c r="C4" s="1">
        <v>3.0756999999999999</v>
      </c>
      <c r="D4" s="122">
        <f t="shared" si="1"/>
        <v>0.17454545454545456</v>
      </c>
      <c r="E4">
        <v>9</v>
      </c>
      <c r="G4" s="124">
        <v>1.4836363636363636</v>
      </c>
      <c r="I4" s="125">
        <v>3422325.1065640594</v>
      </c>
    </row>
    <row r="5" spans="1:15" x14ac:dyDescent="0.3">
      <c r="A5">
        <v>3</v>
      </c>
      <c r="B5" s="123">
        <f t="shared" si="0"/>
        <v>0.43275294117647056</v>
      </c>
      <c r="C5" s="1">
        <v>3.6783999999999999</v>
      </c>
      <c r="D5" s="122">
        <f t="shared" si="1"/>
        <v>0.16727272727272724</v>
      </c>
      <c r="E5">
        <v>8</v>
      </c>
      <c r="G5" s="124">
        <v>1.4218181818181816</v>
      </c>
      <c r="I5" s="125">
        <v>3279728.2271238901</v>
      </c>
    </row>
    <row r="6" spans="1:15" x14ac:dyDescent="0.3">
      <c r="A6">
        <v>4</v>
      </c>
      <c r="B6" s="123">
        <f t="shared" si="0"/>
        <v>0.50365882352941183</v>
      </c>
      <c r="C6" s="1">
        <v>4.2811000000000003</v>
      </c>
      <c r="D6" s="122">
        <f t="shared" si="1"/>
        <v>0.15999999999999998</v>
      </c>
      <c r="E6">
        <v>7</v>
      </c>
      <c r="G6" s="124">
        <v>1.3599999999999999</v>
      </c>
      <c r="I6" s="125">
        <v>3137131.3476837208</v>
      </c>
    </row>
    <row r="7" spans="1:15" x14ac:dyDescent="0.3">
      <c r="A7">
        <v>5</v>
      </c>
      <c r="B7" s="123">
        <f t="shared" si="0"/>
        <v>0.57456470588235298</v>
      </c>
      <c r="C7" s="1">
        <v>4.8837999999999999</v>
      </c>
      <c r="D7" s="122">
        <f t="shared" si="1"/>
        <v>0.15272727272727271</v>
      </c>
      <c r="E7">
        <v>6</v>
      </c>
      <c r="G7" s="124">
        <v>1.2981818181818181</v>
      </c>
      <c r="I7" s="125">
        <v>2994534.4682435519</v>
      </c>
    </row>
    <row r="8" spans="1:15" x14ac:dyDescent="0.3">
      <c r="A8">
        <v>6</v>
      </c>
      <c r="B8" s="123">
        <f t="shared" si="0"/>
        <v>0.64547058823529291</v>
      </c>
      <c r="C8" s="1">
        <v>5.4864999999999897</v>
      </c>
      <c r="D8" s="122">
        <f t="shared" si="1"/>
        <v>0.14545454545454545</v>
      </c>
      <c r="E8">
        <v>5</v>
      </c>
      <c r="G8" s="124">
        <v>1.2363636363636363</v>
      </c>
      <c r="I8" s="125">
        <v>2851937.5888033831</v>
      </c>
    </row>
    <row r="9" spans="1:15" x14ac:dyDescent="0.3">
      <c r="A9">
        <v>7</v>
      </c>
      <c r="B9" s="123">
        <f t="shared" si="0"/>
        <v>0.71637647058823528</v>
      </c>
      <c r="C9" s="1">
        <v>6.0891999999999999</v>
      </c>
      <c r="D9" s="122">
        <f t="shared" si="1"/>
        <v>0.13818181818181816</v>
      </c>
      <c r="E9">
        <v>4</v>
      </c>
      <c r="G9" s="124">
        <v>1.1745454545454543</v>
      </c>
      <c r="I9" s="125">
        <v>2709340.7093632133</v>
      </c>
    </row>
    <row r="10" spans="1:15" x14ac:dyDescent="0.3">
      <c r="A10">
        <v>8</v>
      </c>
      <c r="B10" s="123">
        <f t="shared" si="0"/>
        <v>0.78728235294117521</v>
      </c>
      <c r="C10" s="1">
        <v>6.6918999999999897</v>
      </c>
      <c r="D10" s="122">
        <f t="shared" si="1"/>
        <v>0.13090909090909089</v>
      </c>
      <c r="E10">
        <v>3</v>
      </c>
      <c r="G10" s="124">
        <v>1.1127272727272726</v>
      </c>
      <c r="H10" s="11"/>
      <c r="I10" s="126">
        <v>2566743.829923044</v>
      </c>
      <c r="J10" s="96"/>
    </row>
    <row r="11" spans="1:15" x14ac:dyDescent="0.3">
      <c r="A11">
        <v>9</v>
      </c>
      <c r="B11" s="123">
        <f t="shared" si="0"/>
        <v>0.8581882352941177</v>
      </c>
      <c r="C11" s="1">
        <v>7.2946</v>
      </c>
      <c r="D11" s="122">
        <f t="shared" si="1"/>
        <v>0.12363636363636363</v>
      </c>
      <c r="E11">
        <v>2</v>
      </c>
      <c r="G11" s="124">
        <v>1.0509090909090908</v>
      </c>
      <c r="I11" s="125">
        <v>2424146.9504828751</v>
      </c>
      <c r="K11" s="1"/>
      <c r="N11" s="11"/>
    </row>
    <row r="12" spans="1:15" x14ac:dyDescent="0.3">
      <c r="A12">
        <v>10</v>
      </c>
      <c r="B12" s="123">
        <f t="shared" si="0"/>
        <v>0.92909411764705885</v>
      </c>
      <c r="C12" s="1">
        <v>7.8973000000000004</v>
      </c>
      <c r="D12" s="122">
        <f t="shared" si="1"/>
        <v>0.11636363636363635</v>
      </c>
      <c r="E12">
        <v>1</v>
      </c>
      <c r="G12" s="124">
        <v>0.98909090909090902</v>
      </c>
      <c r="I12" s="125">
        <v>2281550.0710427063</v>
      </c>
      <c r="K12" s="1"/>
      <c r="O12" s="1"/>
    </row>
    <row r="13" spans="1:15" x14ac:dyDescent="0.3">
      <c r="A13">
        <v>11</v>
      </c>
      <c r="B13" s="123">
        <f t="shared" si="0"/>
        <v>1</v>
      </c>
      <c r="C13" s="1">
        <v>8.5</v>
      </c>
      <c r="D13" s="122">
        <f t="shared" si="1"/>
        <v>0.10909090909090907</v>
      </c>
      <c r="E13">
        <v>0</v>
      </c>
      <c r="G13" s="124">
        <v>0.92727272727272714</v>
      </c>
      <c r="I13" s="125">
        <v>2138953.1916025369</v>
      </c>
      <c r="K13" s="1"/>
      <c r="N13" s="10"/>
      <c r="O13" s="1"/>
    </row>
    <row r="14" spans="1:15" x14ac:dyDescent="0.3">
      <c r="I14" s="10"/>
      <c r="K14" s="1"/>
      <c r="N14" s="10"/>
      <c r="O14" s="1"/>
    </row>
    <row r="15" spans="1:15" x14ac:dyDescent="0.3">
      <c r="A15" t="s">
        <v>91</v>
      </c>
      <c r="I15" s="10"/>
      <c r="K15" s="1"/>
      <c r="N15" s="10"/>
      <c r="O15" s="1"/>
    </row>
    <row r="16" spans="1:15" x14ac:dyDescent="0.3">
      <c r="B16" t="s">
        <v>66</v>
      </c>
      <c r="D16" t="s">
        <v>67</v>
      </c>
      <c r="I16" s="10"/>
      <c r="K16" s="1"/>
      <c r="N16" s="10"/>
      <c r="O16" s="1"/>
    </row>
    <row r="17" spans="2:15" x14ac:dyDescent="0.3">
      <c r="B17" t="s">
        <v>59</v>
      </c>
      <c r="D17" t="s">
        <v>34</v>
      </c>
      <c r="I17" s="10"/>
      <c r="K17" s="1"/>
      <c r="N17" s="10"/>
      <c r="O17" s="1"/>
    </row>
    <row r="18" spans="2:15" x14ac:dyDescent="0.3">
      <c r="B18" t="s">
        <v>76</v>
      </c>
      <c r="D18" t="s">
        <v>75</v>
      </c>
      <c r="I18" s="10"/>
      <c r="K18" s="1"/>
      <c r="N18" s="10"/>
      <c r="O18" s="1"/>
    </row>
    <row r="19" spans="2:15" x14ac:dyDescent="0.3">
      <c r="B19" t="s">
        <v>68</v>
      </c>
      <c r="D19" t="s">
        <v>77</v>
      </c>
      <c r="I19" s="10"/>
      <c r="K19" s="1"/>
      <c r="N19" s="10"/>
      <c r="O19" s="1"/>
    </row>
    <row r="20" spans="2:15" x14ac:dyDescent="0.3">
      <c r="B20" t="s">
        <v>69</v>
      </c>
      <c r="D20" t="s">
        <v>78</v>
      </c>
      <c r="I20" s="10"/>
      <c r="K20" s="1"/>
      <c r="N20" s="10"/>
      <c r="O20" s="1"/>
    </row>
    <row r="21" spans="2:15" ht="14.5" thickBot="1" x14ac:dyDescent="0.35">
      <c r="B21" t="s">
        <v>70</v>
      </c>
      <c r="D21" t="s">
        <v>80</v>
      </c>
      <c r="I21" s="44"/>
      <c r="K21" s="20"/>
      <c r="N21" s="10"/>
      <c r="O21" s="1"/>
    </row>
    <row r="22" spans="2:15" ht="14.5" thickBot="1" x14ac:dyDescent="0.35">
      <c r="B22" t="s">
        <v>71</v>
      </c>
      <c r="D22">
        <v>5.36</v>
      </c>
      <c r="N22" s="44"/>
      <c r="O22" s="20"/>
    </row>
    <row r="23" spans="2:15" x14ac:dyDescent="0.3">
      <c r="B23" t="s">
        <v>72</v>
      </c>
      <c r="D23" t="s">
        <v>79</v>
      </c>
    </row>
    <row r="24" spans="2:15" x14ac:dyDescent="0.3">
      <c r="B24" t="s">
        <v>73</v>
      </c>
      <c r="D24" t="s">
        <v>74</v>
      </c>
    </row>
    <row r="38" spans="3:10" x14ac:dyDescent="0.3">
      <c r="D38" s="1"/>
      <c r="E38" s="1"/>
      <c r="F38" s="1"/>
      <c r="G38" s="1"/>
      <c r="H38" s="1"/>
      <c r="I38" s="1"/>
      <c r="J38" s="1"/>
    </row>
    <row r="39" spans="3:10" x14ac:dyDescent="0.3">
      <c r="C39" s="121"/>
      <c r="D39" s="121"/>
      <c r="E39" s="121"/>
      <c r="F39" s="121"/>
      <c r="G39" s="121"/>
      <c r="H39" s="121"/>
      <c r="I39" s="121"/>
      <c r="J39" s="121"/>
    </row>
    <row r="40" spans="3:10" x14ac:dyDescent="0.3">
      <c r="C40" s="121"/>
      <c r="D40" s="121"/>
      <c r="E40" s="121"/>
      <c r="F40" s="121"/>
      <c r="G40" s="121"/>
      <c r="H40" s="121"/>
      <c r="I40" s="121"/>
      <c r="J40" s="121"/>
    </row>
    <row r="41" spans="3:10" x14ac:dyDescent="0.3">
      <c r="C41" s="121"/>
      <c r="D41" s="121"/>
      <c r="E41" s="121"/>
      <c r="F41" s="121"/>
      <c r="G41" s="121"/>
      <c r="H41" s="121"/>
      <c r="I41" s="121"/>
      <c r="J41" s="121"/>
    </row>
    <row r="42" spans="3:10" x14ac:dyDescent="0.3">
      <c r="C42" s="121"/>
      <c r="D42" s="121"/>
      <c r="E42" s="121"/>
      <c r="F42" s="121"/>
      <c r="G42" s="121"/>
      <c r="H42" s="121"/>
      <c r="I42" s="121"/>
      <c r="J42" s="121"/>
    </row>
    <row r="43" spans="3:10" x14ac:dyDescent="0.3">
      <c r="C43" s="121"/>
      <c r="D43" s="121"/>
      <c r="E43" s="121"/>
      <c r="F43" s="121"/>
      <c r="G43" s="121"/>
      <c r="H43" s="121"/>
      <c r="I43" s="121"/>
      <c r="J43" s="121"/>
    </row>
    <row r="44" spans="3:10" x14ac:dyDescent="0.3">
      <c r="C44" s="121"/>
      <c r="D44" s="121"/>
      <c r="E44" s="121"/>
      <c r="F44" s="121"/>
      <c r="G44" s="121"/>
      <c r="H44" s="121"/>
      <c r="I44" s="121"/>
      <c r="J44" s="121"/>
    </row>
    <row r="45" spans="3:10" x14ac:dyDescent="0.3">
      <c r="C45" s="121"/>
      <c r="D45" s="121"/>
      <c r="E45" s="121"/>
      <c r="F45" s="121"/>
      <c r="G45" s="121"/>
      <c r="H45" s="121"/>
      <c r="I45" s="121"/>
      <c r="J45" s="121"/>
    </row>
    <row r="46" spans="3:10" x14ac:dyDescent="0.3">
      <c r="C46" s="121"/>
      <c r="D46" s="121"/>
      <c r="E46" s="121"/>
      <c r="F46" s="121"/>
      <c r="G46" s="121"/>
      <c r="H46" s="121"/>
      <c r="I46" s="121"/>
      <c r="J46" s="121"/>
    </row>
    <row r="47" spans="3:10" x14ac:dyDescent="0.3">
      <c r="C47" s="121"/>
      <c r="D47" s="121"/>
      <c r="E47" s="121"/>
      <c r="F47" s="121"/>
      <c r="G47" s="121"/>
      <c r="H47" s="121"/>
      <c r="I47" s="121"/>
      <c r="J47" s="121"/>
    </row>
    <row r="48" spans="3:10" x14ac:dyDescent="0.3">
      <c r="C48" s="121"/>
      <c r="D48" s="121"/>
      <c r="E48" s="121"/>
      <c r="F48" s="121"/>
      <c r="G48" s="121"/>
      <c r="H48" s="121"/>
      <c r="I48" s="121"/>
      <c r="J48" s="121"/>
    </row>
    <row r="49" spans="3:10" x14ac:dyDescent="0.3">
      <c r="C49" s="121"/>
      <c r="D49" s="121"/>
      <c r="E49" s="121"/>
      <c r="F49" s="121"/>
      <c r="G49" s="121"/>
      <c r="H49" s="121"/>
      <c r="I49" s="121"/>
      <c r="J49" s="121"/>
    </row>
    <row r="50" spans="3:10" x14ac:dyDescent="0.3">
      <c r="C50" s="121"/>
      <c r="D50" s="121"/>
      <c r="E50" s="121"/>
      <c r="F50" s="121"/>
      <c r="G50" s="121"/>
      <c r="H50" s="121"/>
      <c r="I50" s="121"/>
      <c r="J50" s="121"/>
    </row>
    <row r="51" spans="3:10" x14ac:dyDescent="0.3">
      <c r="C51" s="121"/>
      <c r="D51" s="121"/>
      <c r="E51" s="121"/>
      <c r="F51" s="121"/>
      <c r="G51" s="121"/>
      <c r="H51" s="121"/>
      <c r="I51" s="121"/>
      <c r="J51" s="121"/>
    </row>
    <row r="52" spans="3:10" x14ac:dyDescent="0.3">
      <c r="C52" s="121"/>
      <c r="D52" s="121"/>
      <c r="E52" s="121"/>
      <c r="F52" s="121"/>
      <c r="G52" s="121"/>
      <c r="H52" s="121"/>
      <c r="I52" s="121"/>
      <c r="J52" s="121"/>
    </row>
    <row r="53" spans="3:10" x14ac:dyDescent="0.3">
      <c r="C53" s="121"/>
      <c r="D53" s="121"/>
      <c r="E53" s="121"/>
      <c r="F53" s="121"/>
      <c r="G53" s="121"/>
      <c r="H53" s="121"/>
      <c r="I53" s="121"/>
      <c r="J53" s="121"/>
    </row>
    <row r="54" spans="3:10" x14ac:dyDescent="0.3">
      <c r="C54" s="121"/>
      <c r="D54" s="121"/>
      <c r="E54" s="121"/>
      <c r="F54" s="121"/>
      <c r="G54" s="121"/>
      <c r="H54" s="121"/>
      <c r="I54" s="121"/>
      <c r="J54" s="121"/>
    </row>
    <row r="55" spans="3:10" x14ac:dyDescent="0.3">
      <c r="C55" s="121"/>
      <c r="D55" s="121"/>
      <c r="E55" s="121"/>
      <c r="F55" s="121"/>
      <c r="G55" s="121"/>
      <c r="H55" s="121"/>
      <c r="I55" s="121"/>
      <c r="J55" s="121"/>
    </row>
    <row r="56" spans="3:10" x14ac:dyDescent="0.3">
      <c r="C56" s="121"/>
      <c r="D56" s="121"/>
      <c r="E56" s="121"/>
      <c r="F56" s="121"/>
      <c r="G56" s="121"/>
      <c r="H56" s="121"/>
      <c r="I56" s="121"/>
      <c r="J56" s="121"/>
    </row>
    <row r="57" spans="3:10" x14ac:dyDescent="0.3">
      <c r="C57" s="121"/>
      <c r="D57" s="121"/>
      <c r="E57" s="121"/>
      <c r="F57" s="121"/>
      <c r="G57" s="121"/>
      <c r="H57" s="121"/>
      <c r="I57" s="121"/>
      <c r="J57" s="121"/>
    </row>
    <row r="58" spans="3:10" x14ac:dyDescent="0.3">
      <c r="C58" s="121"/>
      <c r="D58" s="121"/>
      <c r="E58" s="121"/>
      <c r="F58" s="121"/>
      <c r="G58" s="121"/>
      <c r="H58" s="121"/>
      <c r="I58" s="121"/>
      <c r="J58" s="1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5CE4B-A40C-4E3A-AA35-9B59996AA75E}">
  <dimension ref="A2:AG60"/>
  <sheetViews>
    <sheetView tabSelected="1" zoomScale="85" zoomScaleNormal="85" workbookViewId="0">
      <selection activeCell="E19" sqref="E19"/>
    </sheetView>
  </sheetViews>
  <sheetFormatPr defaultRowHeight="14" x14ac:dyDescent="0.3"/>
  <cols>
    <col min="1" max="2" width="8.6640625" style="2"/>
    <col min="3" max="3" width="7.75" style="2" customWidth="1"/>
    <col min="4" max="5" width="8.6640625" style="2"/>
    <col min="6" max="6" width="6.5" style="2" customWidth="1"/>
    <col min="7" max="7" width="7.83203125" style="2" customWidth="1"/>
    <col min="8" max="8" width="8" style="2" customWidth="1"/>
    <col min="9" max="10" width="8.6640625" style="2"/>
    <col min="11" max="11" width="8.1640625" style="2" customWidth="1"/>
    <col min="12" max="12" width="9.1640625" style="2" customWidth="1"/>
    <col min="13" max="13" width="8.1640625" style="2" bestFit="1" customWidth="1"/>
    <col min="14" max="14" width="8.6640625" style="2" customWidth="1"/>
    <col min="15" max="15" width="9.5" style="2" customWidth="1"/>
    <col min="16" max="16" width="11.33203125" style="2" customWidth="1"/>
    <col min="17" max="17" width="14.6640625" style="2" customWidth="1"/>
    <col min="18" max="18" width="8.6640625" style="2"/>
    <col min="19" max="21" width="9.1640625" style="2" bestFit="1" customWidth="1"/>
    <col min="22" max="22" width="9.83203125" style="2" customWidth="1"/>
    <col min="23" max="23" width="7.6640625" style="2" customWidth="1"/>
    <col min="24" max="24" width="9" style="2" customWidth="1"/>
    <col min="25" max="25" width="7.83203125" style="2" customWidth="1"/>
    <col min="26" max="26" width="7.75" style="2" customWidth="1"/>
    <col min="27" max="27" width="8.25" style="2" customWidth="1"/>
    <col min="28" max="28" width="8.6640625" style="2" customWidth="1"/>
    <col min="29" max="29" width="8.33203125" style="2" customWidth="1"/>
    <col min="30" max="16384" width="8.6640625" style="2"/>
  </cols>
  <sheetData>
    <row r="2" spans="1:33" ht="14.5" thickBot="1" x14ac:dyDescent="0.35">
      <c r="A2" s="2" t="s">
        <v>34</v>
      </c>
    </row>
    <row r="3" spans="1:33" x14ac:dyDescent="0.3">
      <c r="A3" s="138" t="s">
        <v>36</v>
      </c>
      <c r="B3" s="139"/>
      <c r="C3" s="32"/>
      <c r="D3" s="32"/>
      <c r="E3" s="32"/>
      <c r="F3" s="32"/>
      <c r="G3" s="33"/>
      <c r="I3" s="138" t="s">
        <v>35</v>
      </c>
      <c r="J3" s="139"/>
      <c r="K3" s="139"/>
      <c r="L3" s="15"/>
      <c r="M3" s="15"/>
      <c r="N3" s="15"/>
      <c r="O3" s="15"/>
      <c r="P3" s="15"/>
      <c r="Q3" s="15"/>
      <c r="R3" s="15"/>
      <c r="S3" s="15"/>
      <c r="T3" s="15"/>
      <c r="U3" s="15"/>
      <c r="V3" s="152" t="s">
        <v>95</v>
      </c>
      <c r="W3" s="153"/>
      <c r="X3" s="153"/>
      <c r="Y3" s="153"/>
      <c r="Z3" s="15"/>
      <c r="AA3" s="15"/>
      <c r="AB3" s="15"/>
      <c r="AC3" s="16"/>
      <c r="AD3" s="2">
        <v>1000</v>
      </c>
    </row>
    <row r="4" spans="1:33" s="14" customFormat="1" x14ac:dyDescent="0.3">
      <c r="A4" s="17" t="s">
        <v>5</v>
      </c>
      <c r="B4" s="14" t="s">
        <v>0</v>
      </c>
      <c r="C4" s="14" t="s">
        <v>4</v>
      </c>
      <c r="D4" s="14" t="s">
        <v>6</v>
      </c>
      <c r="E4" s="14" t="s">
        <v>7</v>
      </c>
      <c r="F4" s="14" t="s">
        <v>8</v>
      </c>
      <c r="G4" s="34" t="s">
        <v>9</v>
      </c>
      <c r="I4" s="39" t="s">
        <v>33</v>
      </c>
      <c r="J4" s="14" t="s">
        <v>10</v>
      </c>
      <c r="K4" s="82" t="s">
        <v>11</v>
      </c>
      <c r="L4" s="82" t="s">
        <v>12</v>
      </c>
      <c r="M4" s="14" t="s">
        <v>13</v>
      </c>
      <c r="N4" s="14" t="s">
        <v>14</v>
      </c>
      <c r="O4" s="14" t="s">
        <v>15</v>
      </c>
      <c r="P4" s="97" t="s">
        <v>54</v>
      </c>
      <c r="Q4" s="96" t="s">
        <v>55</v>
      </c>
      <c r="R4" s="71" t="s">
        <v>18</v>
      </c>
      <c r="S4" s="14" t="s">
        <v>19</v>
      </c>
      <c r="T4" s="14" t="s">
        <v>20</v>
      </c>
      <c r="U4" s="102" t="s">
        <v>21</v>
      </c>
      <c r="V4" s="175" t="s">
        <v>22</v>
      </c>
      <c r="W4" s="157" t="s">
        <v>23</v>
      </c>
      <c r="X4" s="157" t="s">
        <v>56</v>
      </c>
      <c r="Y4" s="157" t="s">
        <v>24</v>
      </c>
      <c r="Z4" s="157" t="s">
        <v>25</v>
      </c>
      <c r="AA4" s="157" t="s">
        <v>26</v>
      </c>
      <c r="AB4" s="158" t="s">
        <v>6</v>
      </c>
      <c r="AC4" s="159" t="s">
        <v>7</v>
      </c>
    </row>
    <row r="5" spans="1:33" x14ac:dyDescent="0.3">
      <c r="A5" s="21">
        <v>9</v>
      </c>
      <c r="B5" s="63">
        <v>3564921.9860042301</v>
      </c>
      <c r="C5" s="2">
        <v>0</v>
      </c>
      <c r="D5" s="8">
        <v>0</v>
      </c>
      <c r="E5" s="8">
        <v>9.6000000000000002E-4</v>
      </c>
      <c r="F5" s="9"/>
      <c r="G5" s="30">
        <f>D5/E5</f>
        <v>0</v>
      </c>
      <c r="I5" s="18">
        <v>0</v>
      </c>
      <c r="J5" s="1">
        <v>2.4729999999999999</v>
      </c>
      <c r="K5" s="83">
        <v>4.51908033698603E-5</v>
      </c>
      <c r="L5" s="83">
        <v>-4.51908033698603E-5</v>
      </c>
      <c r="M5">
        <v>4.5219150377832198E-5</v>
      </c>
      <c r="N5">
        <v>-4.5219150377832198E-5</v>
      </c>
      <c r="O5" s="9">
        <v>0.99937309107274197</v>
      </c>
      <c r="P5" s="5">
        <v>1.9999095616992399</v>
      </c>
      <c r="Q5" s="5">
        <v>2.4728881730411101</v>
      </c>
      <c r="R5" s="91">
        <v>3.1803795640367598</v>
      </c>
      <c r="S5" s="5">
        <v>0.80873400373207605</v>
      </c>
      <c r="T5" s="5">
        <v>38.963645989027398</v>
      </c>
      <c r="U5" s="103">
        <v>28.963599579935899</v>
      </c>
      <c r="V5" s="176">
        <f>AD5/$AD$3</f>
        <v>0</v>
      </c>
      <c r="W5" s="162">
        <f>AE5/$AD$3</f>
        <v>4.6339259682197393E-3</v>
      </c>
      <c r="X5" s="177">
        <f t="shared" ref="X5:Y5" si="0">AF5/$AD$3</f>
        <v>2.2439965846320301E-3</v>
      </c>
      <c r="Y5" s="177">
        <f t="shared" si="0"/>
        <v>-4.0543494184765395E-3</v>
      </c>
      <c r="Z5" s="162">
        <v>4.6488371545442799E-4</v>
      </c>
      <c r="AA5" s="162">
        <v>-8.3993043230096501E-4</v>
      </c>
      <c r="AB5" s="163">
        <v>0</v>
      </c>
      <c r="AC5" s="164">
        <v>9.6000000000000002E-4</v>
      </c>
      <c r="AD5" s="51">
        <v>0</v>
      </c>
      <c r="AE5" s="49">
        <v>4.6339259682197396</v>
      </c>
      <c r="AF5" s="51">
        <v>2.24399658463203</v>
      </c>
      <c r="AG5" s="51">
        <v>-4.0543494184765398</v>
      </c>
    </row>
    <row r="6" spans="1:33" x14ac:dyDescent="0.3">
      <c r="A6" s="21"/>
      <c r="B6" s="63">
        <v>3422325.1065640594</v>
      </c>
      <c r="C6" s="2">
        <v>1</v>
      </c>
      <c r="D6" s="8">
        <v>0.1106</v>
      </c>
      <c r="E6" s="8">
        <v>9.7000000000000005E-4</v>
      </c>
      <c r="F6" s="9"/>
      <c r="G6" s="30">
        <f t="shared" ref="G6:G15" si="1">D6/E6</f>
        <v>114.02061855670102</v>
      </c>
      <c r="I6" s="18">
        <v>1</v>
      </c>
      <c r="J6" s="1">
        <v>3.0756999999999999</v>
      </c>
      <c r="K6" s="84">
        <v>9.6093599528334905E-3</v>
      </c>
      <c r="L6" s="84">
        <v>2.3314426305227299E-3</v>
      </c>
      <c r="M6" s="10">
        <v>9.6253703933549001E-3</v>
      </c>
      <c r="N6" s="10">
        <v>2.3352665185932E-3</v>
      </c>
      <c r="O6" s="9">
        <v>0.99836142552135199</v>
      </c>
      <c r="P6" s="5">
        <v>1.98074925921329</v>
      </c>
      <c r="Q6" s="5">
        <v>3.0828825792312302</v>
      </c>
      <c r="R6" s="91">
        <v>3.66435978380964</v>
      </c>
      <c r="S6" s="5">
        <v>0.64249888401793598</v>
      </c>
      <c r="T6" s="5">
        <v>32.720699583762602</v>
      </c>
      <c r="U6" s="103">
        <v>23.660122388703499</v>
      </c>
      <c r="V6" s="176">
        <f t="shared" ref="V6:V15" si="2">AD6/$AD$3</f>
        <v>0.67937169475070591</v>
      </c>
      <c r="W6" s="162">
        <f t="shared" ref="W6:W15" si="3">AE6/$AD$3</f>
        <v>5.9583231818099904E-3</v>
      </c>
      <c r="X6" s="177">
        <f t="shared" ref="X6:X15" si="4">AF6/$AD$3</f>
        <v>0.62465632972402796</v>
      </c>
      <c r="Y6" s="177">
        <f t="shared" ref="Y6:Y15" si="5">AG6/$AD$3</f>
        <v>0.26718134474414801</v>
      </c>
      <c r="Z6" s="162">
        <v>0.101692476447416</v>
      </c>
      <c r="AA6" s="162">
        <v>4.3496449671112998E-2</v>
      </c>
      <c r="AB6" s="163">
        <v>0.1106</v>
      </c>
      <c r="AC6" s="164">
        <v>9.7000000000000005E-4</v>
      </c>
      <c r="AD6" s="51">
        <v>679.37169475070596</v>
      </c>
      <c r="AE6" s="49">
        <v>5.9583231818099902</v>
      </c>
      <c r="AF6" s="51">
        <v>624.65632972402796</v>
      </c>
      <c r="AG6" s="51">
        <v>267.18134474414802</v>
      </c>
    </row>
    <row r="7" spans="1:33" x14ac:dyDescent="0.3">
      <c r="A7" s="21"/>
      <c r="B7" s="63">
        <v>3279728.2271238901</v>
      </c>
      <c r="C7" s="2">
        <v>2</v>
      </c>
      <c r="D7" s="8">
        <v>0.22059999999999999</v>
      </c>
      <c r="E7" s="8">
        <v>1E-3</v>
      </c>
      <c r="F7" s="9"/>
      <c r="G7" s="30">
        <f t="shared" si="1"/>
        <v>220.6</v>
      </c>
      <c r="I7" s="18">
        <v>2</v>
      </c>
      <c r="J7" s="1">
        <v>3.6783999999999999</v>
      </c>
      <c r="K7" s="84">
        <v>2.1452125583654998E-2</v>
      </c>
      <c r="L7" s="84">
        <v>3.6373681072415999E-3</v>
      </c>
      <c r="M7" s="10">
        <v>2.15310342578948E-2</v>
      </c>
      <c r="N7" s="10">
        <v>3.6502797552659901E-3</v>
      </c>
      <c r="O7" s="9">
        <v>0.99645860527821395</v>
      </c>
      <c r="P7" s="5">
        <v>1.9569379314842099</v>
      </c>
      <c r="Q7" s="5">
        <v>3.6918271890517702</v>
      </c>
      <c r="R7" s="91">
        <v>4.1784200436891901</v>
      </c>
      <c r="S7" s="5">
        <v>0.530072861268996</v>
      </c>
      <c r="T7" s="5">
        <v>27.926848765295201</v>
      </c>
      <c r="U7" s="103">
        <v>19.791505574425202</v>
      </c>
      <c r="V7" s="176">
        <f t="shared" si="2"/>
        <v>1.68653536334075</v>
      </c>
      <c r="W7" s="162">
        <f t="shared" si="3"/>
        <v>7.6452192354522002E-3</v>
      </c>
      <c r="X7" s="177">
        <f t="shared" si="4"/>
        <v>1.5895021936067899</v>
      </c>
      <c r="Y7" s="177">
        <f t="shared" si="5"/>
        <v>0.56386413052726503</v>
      </c>
      <c r="Z7" s="162">
        <v>0.207907993826521</v>
      </c>
      <c r="AA7" s="162">
        <v>7.3753820938519302E-2</v>
      </c>
      <c r="AB7" s="163">
        <v>0.22059999999999999</v>
      </c>
      <c r="AC7" s="164">
        <v>1E-3</v>
      </c>
      <c r="AD7" s="51">
        <v>1686.5353633407501</v>
      </c>
      <c r="AE7" s="49">
        <v>7.6452192354521999</v>
      </c>
      <c r="AF7" s="51">
        <v>1589.5021936067899</v>
      </c>
      <c r="AG7" s="51">
        <v>563.86413052726505</v>
      </c>
    </row>
    <row r="8" spans="1:33" x14ac:dyDescent="0.3">
      <c r="A8" s="21"/>
      <c r="B8" s="63">
        <v>3137131.3476837208</v>
      </c>
      <c r="C8" s="2">
        <v>3</v>
      </c>
      <c r="D8" s="8">
        <v>0.32929999999999998</v>
      </c>
      <c r="E8" s="8">
        <v>1.06E-3</v>
      </c>
      <c r="F8" s="9"/>
      <c r="G8" s="30">
        <f t="shared" si="1"/>
        <v>310.66037735849056</v>
      </c>
      <c r="I8" s="18">
        <v>3</v>
      </c>
      <c r="J8" s="1">
        <v>4.2811000000000003</v>
      </c>
      <c r="K8" s="84">
        <v>3.5069393812954999E-2</v>
      </c>
      <c r="L8" s="84">
        <v>4.3848266733932098E-3</v>
      </c>
      <c r="M8" s="10">
        <v>3.5335470657978901E-2</v>
      </c>
      <c r="N8" s="10">
        <v>4.4161772160664099E-3</v>
      </c>
      <c r="O8" s="9">
        <v>0.99288884711721603</v>
      </c>
      <c r="P8" s="5">
        <v>1.9293290586840399</v>
      </c>
      <c r="Q8" s="5">
        <v>4.3000060962797004</v>
      </c>
      <c r="R8" s="91">
        <v>4.7129993682076003</v>
      </c>
      <c r="S8" s="5">
        <v>0.44868043598189999</v>
      </c>
      <c r="T8" s="5">
        <v>24.164840726151098</v>
      </c>
      <c r="U8" s="103">
        <v>16.9530934780759</v>
      </c>
      <c r="V8" s="176">
        <f t="shared" si="2"/>
        <v>3.06122091193276</v>
      </c>
      <c r="W8" s="162">
        <f t="shared" si="3"/>
        <v>9.8539148698716505E-3</v>
      </c>
      <c r="X8" s="177">
        <f t="shared" si="4"/>
        <v>2.93106519125682</v>
      </c>
      <c r="Y8" s="177">
        <f t="shared" si="5"/>
        <v>0.8831916076907449</v>
      </c>
      <c r="Z8" s="162">
        <v>0.31529895922195</v>
      </c>
      <c r="AA8" s="162">
        <v>9.5006209868381306E-2</v>
      </c>
      <c r="AB8" s="163">
        <v>0.32929999999999998</v>
      </c>
      <c r="AC8" s="164">
        <v>1.06E-3</v>
      </c>
      <c r="AD8" s="51">
        <v>3061.2209119327599</v>
      </c>
      <c r="AE8" s="49">
        <v>9.8539148698716499</v>
      </c>
      <c r="AF8" s="51">
        <v>2931.0651912568201</v>
      </c>
      <c r="AG8" s="51">
        <v>883.19160769074495</v>
      </c>
    </row>
    <row r="9" spans="1:33" x14ac:dyDescent="0.3">
      <c r="A9" s="21"/>
      <c r="B9" s="63">
        <v>2994534.4682435519</v>
      </c>
      <c r="C9" s="2">
        <v>4</v>
      </c>
      <c r="D9" s="8">
        <v>0.43619999999999998</v>
      </c>
      <c r="E9" s="8">
        <v>1.15E-3</v>
      </c>
      <c r="F9" s="9"/>
      <c r="G9" s="30">
        <f t="shared" si="1"/>
        <v>379.30434782608694</v>
      </c>
      <c r="I9" s="18">
        <v>4</v>
      </c>
      <c r="J9" s="1">
        <v>4.8837999999999999</v>
      </c>
      <c r="K9" s="84">
        <v>4.9551304961329701E-2</v>
      </c>
      <c r="L9" s="84">
        <v>4.8019198170571103E-3</v>
      </c>
      <c r="M9" s="10">
        <v>5.0313852135477101E-2</v>
      </c>
      <c r="N9" s="10">
        <v>4.8697631967558903E-3</v>
      </c>
      <c r="O9" s="9">
        <v>0.98603765927301501</v>
      </c>
      <c r="P9" s="5">
        <v>1.89937229572904</v>
      </c>
      <c r="Q9" s="5">
        <v>4.90758294950031</v>
      </c>
      <c r="R9" s="91">
        <v>5.2623175050550897</v>
      </c>
      <c r="S9" s="5">
        <v>0.38702797858861598</v>
      </c>
      <c r="T9" s="5">
        <v>21.157831708842298</v>
      </c>
      <c r="U9" s="103">
        <v>14.8844200697565</v>
      </c>
      <c r="V9" s="176">
        <f t="shared" si="2"/>
        <v>4.8236952574855705</v>
      </c>
      <c r="W9" s="162">
        <f t="shared" si="3"/>
        <v>1.2717215832435499E-2</v>
      </c>
      <c r="X9" s="177">
        <f t="shared" si="4"/>
        <v>4.66510757251889</v>
      </c>
      <c r="Y9" s="177">
        <f t="shared" si="5"/>
        <v>1.2267717805256899</v>
      </c>
      <c r="Z9" s="162">
        <v>0.42185913796583302</v>
      </c>
      <c r="AA9" s="162">
        <v>0.110935252353451</v>
      </c>
      <c r="AB9" s="163">
        <v>0.43619999999999998</v>
      </c>
      <c r="AC9" s="164">
        <v>1.15E-3</v>
      </c>
      <c r="AD9" s="51">
        <v>4823.6952574855704</v>
      </c>
      <c r="AE9" s="49">
        <v>12.7172158324355</v>
      </c>
      <c r="AF9" s="51">
        <v>4665.1075725188903</v>
      </c>
      <c r="AG9" s="51">
        <v>1226.77178052569</v>
      </c>
    </row>
    <row r="10" spans="1:33" x14ac:dyDescent="0.3">
      <c r="A10" s="21"/>
      <c r="B10" s="63">
        <v>2851937.5888033831</v>
      </c>
      <c r="C10" s="2">
        <v>5</v>
      </c>
      <c r="D10" s="8">
        <v>0.54069999999999996</v>
      </c>
      <c r="E10" s="8">
        <v>1.2700000000000001E-3</v>
      </c>
      <c r="F10" s="9"/>
      <c r="G10" s="30">
        <f t="shared" si="1"/>
        <v>425.74803149606294</v>
      </c>
      <c r="I10" s="18">
        <v>5</v>
      </c>
      <c r="J10" s="1">
        <v>5.4864999999999897</v>
      </c>
      <c r="K10" s="84">
        <v>6.3629822381983697E-2</v>
      </c>
      <c r="L10" s="84">
        <v>5.0041969211365297E-3</v>
      </c>
      <c r="M10" s="10">
        <v>6.5625537223717403E-2</v>
      </c>
      <c r="N10" s="10">
        <v>5.14457571290857E-3</v>
      </c>
      <c r="O10" s="9">
        <v>0.97264285824132901</v>
      </c>
      <c r="P10" s="5">
        <v>1.86874892555256</v>
      </c>
      <c r="Q10" s="5">
        <v>5.5147257146488702</v>
      </c>
      <c r="R10" s="91">
        <v>5.8227504029078299</v>
      </c>
      <c r="S10" s="5">
        <v>0.338865191739886</v>
      </c>
      <c r="T10" s="5">
        <v>18.719730787407499</v>
      </c>
      <c r="U10" s="103">
        <v>13.4167608554902</v>
      </c>
      <c r="V10" s="176">
        <f t="shared" si="2"/>
        <v>6.9727373497484297</v>
      </c>
      <c r="W10" s="162">
        <f t="shared" si="3"/>
        <v>1.6377615006806897E-2</v>
      </c>
      <c r="X10" s="177">
        <f t="shared" si="4"/>
        <v>6.7862379578314203</v>
      </c>
      <c r="Y10" s="177">
        <f t="shared" si="5"/>
        <v>1.60197027267615</v>
      </c>
      <c r="Z10" s="162">
        <v>0.52623792920176904</v>
      </c>
      <c r="AA10" s="162">
        <v>0.12422457393540599</v>
      </c>
      <c r="AB10" s="163">
        <v>0.54069999999999996</v>
      </c>
      <c r="AC10" s="164">
        <v>1.2700000000000001E-3</v>
      </c>
      <c r="AD10" s="51">
        <v>6972.7373497484296</v>
      </c>
      <c r="AE10" s="49">
        <v>16.377615006806899</v>
      </c>
      <c r="AF10" s="51">
        <v>6786.2379578314203</v>
      </c>
      <c r="AG10" s="51">
        <v>1601.97027267615</v>
      </c>
    </row>
    <row r="11" spans="1:33" x14ac:dyDescent="0.3">
      <c r="A11" s="21"/>
      <c r="B11" s="63">
        <v>2709340.7093632133</v>
      </c>
      <c r="C11" s="2">
        <v>6</v>
      </c>
      <c r="D11" s="8">
        <v>0.64219999999999999</v>
      </c>
      <c r="E11" s="8">
        <v>1.41E-3</v>
      </c>
      <c r="F11" s="9"/>
      <c r="G11" s="30">
        <f t="shared" si="1"/>
        <v>455.46099290780143</v>
      </c>
      <c r="I11" s="18">
        <v>6</v>
      </c>
      <c r="J11" s="1">
        <v>6.0891999999999999</v>
      </c>
      <c r="K11" s="84">
        <v>7.5881843632940593E-2</v>
      </c>
      <c r="L11" s="84">
        <v>5.0581120083257802E-3</v>
      </c>
      <c r="M11" s="10">
        <v>8.0787138340351797E-2</v>
      </c>
      <c r="N11" s="10">
        <v>5.3437576784401402E-3</v>
      </c>
      <c r="O11" s="9">
        <v>0.94639537171909704</v>
      </c>
      <c r="P11" s="5">
        <v>1.83842572331929</v>
      </c>
      <c r="Q11" s="5">
        <v>6.1217392092555496</v>
      </c>
      <c r="R11" s="91">
        <v>6.3918307304166699</v>
      </c>
      <c r="S11" s="5">
        <v>0.30031096722133799</v>
      </c>
      <c r="T11" s="5">
        <v>16.715588806542598</v>
      </c>
      <c r="U11" s="103">
        <v>12.4252927177383</v>
      </c>
      <c r="V11" s="176">
        <f t="shared" si="2"/>
        <v>9.4853487513873098</v>
      </c>
      <c r="W11" s="162">
        <f t="shared" si="3"/>
        <v>2.0825820210925102E-2</v>
      </c>
      <c r="X11" s="177">
        <f t="shared" si="4"/>
        <v>9.2676585013102901</v>
      </c>
      <c r="Y11" s="177">
        <f t="shared" si="5"/>
        <v>2.0205891599539498</v>
      </c>
      <c r="Z11" s="162">
        <v>0.62746140869843903</v>
      </c>
      <c r="AA11" s="162">
        <v>0.13680280952586299</v>
      </c>
      <c r="AB11" s="163">
        <v>0.64219999999999999</v>
      </c>
      <c r="AC11" s="164">
        <v>1.41E-3</v>
      </c>
      <c r="AD11" s="51">
        <v>9485.3487513873097</v>
      </c>
      <c r="AE11" s="49">
        <v>20.825820210925102</v>
      </c>
      <c r="AF11" s="51">
        <v>9267.6585013102904</v>
      </c>
      <c r="AG11" s="51">
        <v>2020.58915995395</v>
      </c>
    </row>
    <row r="12" spans="1:33" x14ac:dyDescent="0.3">
      <c r="A12" s="21"/>
      <c r="B12" s="63">
        <v>2566743.829923044</v>
      </c>
      <c r="C12" s="2">
        <v>7</v>
      </c>
      <c r="D12" s="8">
        <v>0.75229999999999997</v>
      </c>
      <c r="E12" s="8">
        <v>1.6299999999999999E-3</v>
      </c>
      <c r="F12" s="9"/>
      <c r="G12" s="30">
        <f t="shared" si="1"/>
        <v>461.53374233128835</v>
      </c>
      <c r="I12" s="18">
        <v>7</v>
      </c>
      <c r="J12" s="1">
        <v>6.6918999999999897</v>
      </c>
      <c r="K12" s="84">
        <v>8.6644496245980404E-2</v>
      </c>
      <c r="L12" s="84">
        <v>5.0861258219375904E-3</v>
      </c>
      <c r="M12" s="10">
        <v>9.8357929761274901E-2</v>
      </c>
      <c r="N12" s="10">
        <v>5.6725851008654201E-3</v>
      </c>
      <c r="O12" s="9">
        <v>0.89630485377753899</v>
      </c>
      <c r="P12" s="5">
        <v>1.80328414047745</v>
      </c>
      <c r="Q12" s="5">
        <v>6.7298603722364803</v>
      </c>
      <c r="R12" s="91">
        <v>6.9672702201864096</v>
      </c>
      <c r="S12" s="5">
        <v>0.26795264281620301</v>
      </c>
      <c r="T12" s="5">
        <v>15.0001844494571</v>
      </c>
      <c r="U12" s="103">
        <v>11.752608202483099</v>
      </c>
      <c r="V12" s="176">
        <f t="shared" si="2"/>
        <v>12.515928111561399</v>
      </c>
      <c r="W12" s="162">
        <f t="shared" si="3"/>
        <v>2.7118121523122599E-2</v>
      </c>
      <c r="X12" s="177">
        <f t="shared" si="4"/>
        <v>12.259070933970401</v>
      </c>
      <c r="Y12" s="177">
        <f t="shared" si="5"/>
        <v>2.5227706439887103</v>
      </c>
      <c r="Z12" s="162">
        <v>0.73686098077750595</v>
      </c>
      <c r="AA12" s="162">
        <v>0.15163720489250501</v>
      </c>
      <c r="AB12" s="163">
        <v>0.75229999999999997</v>
      </c>
      <c r="AC12" s="164">
        <v>1.6299999999999999E-3</v>
      </c>
      <c r="AD12" s="51">
        <v>12515.928111561399</v>
      </c>
      <c r="AE12" s="49">
        <v>27.1181215231226</v>
      </c>
      <c r="AF12" s="51">
        <v>12259.070933970401</v>
      </c>
      <c r="AG12" s="51">
        <v>2522.7706439887102</v>
      </c>
    </row>
    <row r="13" spans="1:33" x14ac:dyDescent="0.3">
      <c r="A13" s="23"/>
      <c r="B13" s="63">
        <v>2424146.9504828751</v>
      </c>
      <c r="C13" s="2">
        <v>8</v>
      </c>
      <c r="D13" s="8">
        <v>0.87660000000000005</v>
      </c>
      <c r="E13" s="8">
        <v>1.92E-3</v>
      </c>
      <c r="F13" s="9"/>
      <c r="G13" s="30">
        <f t="shared" si="1"/>
        <v>456.5625</v>
      </c>
      <c r="I13" s="18">
        <v>8</v>
      </c>
      <c r="J13" s="1">
        <v>7.2946</v>
      </c>
      <c r="K13" s="84">
        <v>9.5657409493722895E-2</v>
      </c>
      <c r="L13" s="84">
        <v>5.1191484127742701E-3</v>
      </c>
      <c r="M13" s="10">
        <v>0.123856526431881</v>
      </c>
      <c r="N13" s="10">
        <v>6.3660893906931602E-3</v>
      </c>
      <c r="O13" s="9">
        <v>0.80351089788471397</v>
      </c>
      <c r="P13" s="5">
        <v>1.7522869471362299</v>
      </c>
      <c r="Q13" s="5">
        <v>7.3410380756693501</v>
      </c>
      <c r="R13" s="91">
        <v>7.5472743141833103</v>
      </c>
      <c r="S13" s="5">
        <v>0.238697400882104</v>
      </c>
      <c r="T13" s="5">
        <v>13.4251437743184</v>
      </c>
      <c r="U13" s="103">
        <v>11.2352403674432</v>
      </c>
      <c r="V13" s="176">
        <f t="shared" si="2"/>
        <v>16.173673718642899</v>
      </c>
      <c r="W13" s="162">
        <f t="shared" si="3"/>
        <v>3.5424884257123403E-2</v>
      </c>
      <c r="X13" s="177">
        <f t="shared" si="4"/>
        <v>15.870615786931499</v>
      </c>
      <c r="Y13" s="177">
        <f t="shared" si="5"/>
        <v>3.1164933857051302</v>
      </c>
      <c r="Z13" s="162">
        <v>0.86017450585688804</v>
      </c>
      <c r="AA13" s="162">
        <v>0.16891141427937301</v>
      </c>
      <c r="AB13" s="163">
        <v>0.87660000000000005</v>
      </c>
      <c r="AC13" s="164">
        <v>1.92E-3</v>
      </c>
      <c r="AD13" s="51">
        <v>16173.6737186429</v>
      </c>
      <c r="AE13" s="49">
        <v>35.424884257123402</v>
      </c>
      <c r="AF13" s="51">
        <v>15870.615786931499</v>
      </c>
      <c r="AG13" s="51">
        <v>3116.4933857051301</v>
      </c>
    </row>
    <row r="14" spans="1:33" x14ac:dyDescent="0.3">
      <c r="A14" s="21"/>
      <c r="B14" s="63">
        <v>2281550.0710427063</v>
      </c>
      <c r="C14" s="2">
        <v>9</v>
      </c>
      <c r="D14" s="8">
        <v>0.99990000000000001</v>
      </c>
      <c r="E14" s="8">
        <v>2.33E-3</v>
      </c>
      <c r="F14" s="9"/>
      <c r="G14" s="30">
        <f t="shared" si="1"/>
        <v>429.14163090128756</v>
      </c>
      <c r="I14" s="18">
        <v>9</v>
      </c>
      <c r="J14" s="1">
        <v>7.8973000000000004</v>
      </c>
      <c r="K14" s="84">
        <v>0.10039091668518201</v>
      </c>
      <c r="L14" s="84">
        <v>5.0637892913835102E-3</v>
      </c>
      <c r="M14" s="10">
        <v>0.17604681968882699</v>
      </c>
      <c r="N14" s="10">
        <v>8.0159422394664795E-3</v>
      </c>
      <c r="O14" s="9">
        <v>0.630445982857746</v>
      </c>
      <c r="P14" s="5">
        <v>1.6479063606223401</v>
      </c>
      <c r="Q14" s="5">
        <v>7.9606043006477396</v>
      </c>
      <c r="R14" s="91">
        <v>8.1293798167431408</v>
      </c>
      <c r="S14" s="5">
        <v>0.20700767069663101</v>
      </c>
      <c r="T14" s="5">
        <v>11.695474344230901</v>
      </c>
      <c r="U14" s="103">
        <v>10.5683661757474</v>
      </c>
      <c r="V14" s="176">
        <f t="shared" si="2"/>
        <v>20.1586951481668</v>
      </c>
      <c r="W14" s="162">
        <f t="shared" si="3"/>
        <v>4.6974457140942803E-2</v>
      </c>
      <c r="X14" s="177">
        <f t="shared" si="4"/>
        <v>19.825354208361002</v>
      </c>
      <c r="Y14" s="177">
        <f t="shared" si="5"/>
        <v>3.6510994493944802</v>
      </c>
      <c r="Z14" s="162">
        <v>0.98336581446557103</v>
      </c>
      <c r="AA14" s="162">
        <v>0.18109973451240599</v>
      </c>
      <c r="AB14" s="163">
        <v>0.99990000000000001</v>
      </c>
      <c r="AC14" s="164">
        <v>2.33E-3</v>
      </c>
      <c r="AD14" s="51">
        <v>20158.6951481668</v>
      </c>
      <c r="AE14" s="49">
        <v>46.974457140942803</v>
      </c>
      <c r="AF14" s="51">
        <v>19825.354208361001</v>
      </c>
      <c r="AG14" s="51">
        <v>3651.09944939448</v>
      </c>
    </row>
    <row r="15" spans="1:33" ht="14.5" thickBot="1" x14ac:dyDescent="0.35">
      <c r="A15" s="24"/>
      <c r="B15" s="64">
        <v>2138953.1916025369</v>
      </c>
      <c r="C15" s="26">
        <v>10</v>
      </c>
      <c r="D15" s="37">
        <v>1.0767</v>
      </c>
      <c r="E15" s="37">
        <v>3.0000000000000001E-3</v>
      </c>
      <c r="F15" s="25"/>
      <c r="G15" s="31">
        <f t="shared" si="1"/>
        <v>358.9</v>
      </c>
      <c r="I15" s="19">
        <v>10</v>
      </c>
      <c r="J15" s="20">
        <v>8.5</v>
      </c>
      <c r="K15" s="85">
        <v>9.6434000000000006E-2</v>
      </c>
      <c r="L15" s="85">
        <v>4.7359999999999998E-3</v>
      </c>
      <c r="M15" s="37">
        <v>0.47749999999999998</v>
      </c>
      <c r="N15" s="44">
        <v>1.3318999999999999E-2</v>
      </c>
      <c r="O15" s="25">
        <v>0.35</v>
      </c>
      <c r="P15" s="36">
        <f>(1-M15)*$Q$35</f>
        <v>1.0449999999999999</v>
      </c>
      <c r="Q15" s="36">
        <f>(1+N15)*$Q$37*$Q$39</f>
        <v>8.6132115000000002</v>
      </c>
      <c r="R15" s="92">
        <v>8.6763729999999999</v>
      </c>
      <c r="S15" s="36">
        <f>P15/R15</f>
        <v>0.12044203263276025</v>
      </c>
      <c r="T15" s="36">
        <v>6.91761545702271</v>
      </c>
      <c r="U15" s="104">
        <v>6.91761545702271</v>
      </c>
      <c r="V15" s="178">
        <f t="shared" si="2"/>
        <v>23.208439800306998</v>
      </c>
      <c r="W15" s="167">
        <f t="shared" si="3"/>
        <v>6.4665477292580209E-2</v>
      </c>
      <c r="X15" s="179">
        <f t="shared" si="4"/>
        <v>23.047278524258303</v>
      </c>
      <c r="Y15" s="179">
        <f t="shared" si="5"/>
        <v>2.73108260836017</v>
      </c>
      <c r="Z15" s="167">
        <v>1.0692233084423299</v>
      </c>
      <c r="AA15" s="167">
        <v>0.12670203898766499</v>
      </c>
      <c r="AB15" s="168">
        <v>1.0767</v>
      </c>
      <c r="AC15" s="169">
        <v>3.0000000000000001E-3</v>
      </c>
      <c r="AD15" s="52">
        <v>23208.439800306998</v>
      </c>
      <c r="AE15" s="50">
        <v>64.665477292580206</v>
      </c>
      <c r="AF15" s="52">
        <v>23047.278524258301</v>
      </c>
      <c r="AG15" s="52">
        <v>2731.0826083601701</v>
      </c>
    </row>
    <row r="16" spans="1:33" ht="14.5" thickBot="1" x14ac:dyDescent="0.35">
      <c r="A16" s="8"/>
      <c r="B16" s="8"/>
      <c r="C16" s="8"/>
      <c r="D16" s="8"/>
      <c r="E16" s="8"/>
      <c r="F16" s="8"/>
      <c r="G16" s="8"/>
      <c r="H16" s="42" t="s">
        <v>37</v>
      </c>
      <c r="I16" s="8"/>
      <c r="J16" s="8"/>
      <c r="K16" s="8"/>
      <c r="L16" s="10"/>
      <c r="M16" s="43"/>
      <c r="N16" s="43"/>
      <c r="S16" s="5">
        <f>TAN(RADIANS(U15))</f>
        <v>0.12132525843733866</v>
      </c>
      <c r="W16" s="8"/>
    </row>
    <row r="17" spans="1:28" x14ac:dyDescent="0.3">
      <c r="A17" s="8"/>
      <c r="B17" s="8"/>
      <c r="C17" s="8"/>
      <c r="D17" s="8"/>
      <c r="E17" s="8"/>
      <c r="F17" s="8"/>
      <c r="G17" s="8"/>
      <c r="H17" s="42" t="s">
        <v>38</v>
      </c>
      <c r="I17" s="8"/>
      <c r="J17" s="8"/>
      <c r="K17" s="8"/>
      <c r="L17" s="9"/>
    </row>
    <row r="18" spans="1:28" ht="14.5" thickBot="1" x14ac:dyDescent="0.35">
      <c r="A18" s="8"/>
      <c r="B18" s="8"/>
      <c r="C18" s="8"/>
      <c r="D18" s="8"/>
      <c r="E18" s="8"/>
      <c r="F18" s="8"/>
      <c r="G18" s="8"/>
      <c r="H18" s="42"/>
      <c r="I18" s="8"/>
      <c r="J18" s="8"/>
      <c r="K18" s="8"/>
      <c r="L18" s="9"/>
    </row>
    <row r="19" spans="1:28" x14ac:dyDescent="0.3">
      <c r="A19" s="137" t="s">
        <v>99</v>
      </c>
      <c r="B19" s="137"/>
      <c r="C19" s="137"/>
      <c r="N19" s="140" t="s">
        <v>98</v>
      </c>
      <c r="O19" s="141"/>
      <c r="P19" s="141"/>
      <c r="Q19" s="141"/>
      <c r="R19" s="54"/>
      <c r="S19" s="55"/>
      <c r="U19" s="140" t="s">
        <v>97</v>
      </c>
      <c r="V19" s="141"/>
      <c r="W19" s="141"/>
      <c r="X19" s="141"/>
      <c r="Y19" s="141"/>
      <c r="Z19" s="141"/>
      <c r="AA19" s="141"/>
      <c r="AB19" s="142"/>
    </row>
    <row r="20" spans="1:28" x14ac:dyDescent="0.3">
      <c r="A20" s="222" t="s">
        <v>96</v>
      </c>
      <c r="B20" s="222"/>
      <c r="N20" s="21" t="s">
        <v>5</v>
      </c>
      <c r="O20" s="53" t="s">
        <v>28</v>
      </c>
      <c r="P20" s="77" t="s">
        <v>21</v>
      </c>
      <c r="Q20" s="145" t="s">
        <v>31</v>
      </c>
      <c r="R20" s="145" t="s">
        <v>32</v>
      </c>
      <c r="S20" s="46" t="s">
        <v>9</v>
      </c>
      <c r="U20" s="74" t="s">
        <v>18</v>
      </c>
      <c r="V20" s="11" t="s">
        <v>19</v>
      </c>
      <c r="W20" s="11" t="s">
        <v>20</v>
      </c>
      <c r="X20" s="68" t="s">
        <v>21</v>
      </c>
      <c r="Y20" s="46" t="s">
        <v>30</v>
      </c>
      <c r="Z20" s="21" t="s">
        <v>45</v>
      </c>
      <c r="AA20" s="11" t="s">
        <v>46</v>
      </c>
      <c r="AB20" s="59" t="s">
        <v>47</v>
      </c>
    </row>
    <row r="21" spans="1:28" x14ac:dyDescent="0.3">
      <c r="B21" s="2">
        <v>0</v>
      </c>
      <c r="D21" s="2">
        <v>1</v>
      </c>
      <c r="F21" s="2">
        <v>2</v>
      </c>
      <c r="H21" s="2">
        <v>3</v>
      </c>
      <c r="J21" s="2">
        <v>4</v>
      </c>
      <c r="L21" s="2">
        <v>5</v>
      </c>
      <c r="N21" s="21">
        <v>9</v>
      </c>
      <c r="O21" s="86">
        <f>$P$35*U21*R35/$S$35</f>
        <v>5668902.5158365946</v>
      </c>
      <c r="P21" s="78">
        <v>28.963599579935899</v>
      </c>
      <c r="Q21" s="146">
        <v>1.1812</v>
      </c>
      <c r="R21" s="147">
        <v>0.37959999999999999</v>
      </c>
      <c r="S21" s="148">
        <f>Q21/R21</f>
        <v>3.1116965226554267</v>
      </c>
      <c r="U21" s="81">
        <v>3.1803795640367598</v>
      </c>
      <c r="V21" s="9">
        <v>0.80873400373207605</v>
      </c>
      <c r="W21" s="4">
        <v>38.963645989027398</v>
      </c>
      <c r="X21" s="69">
        <v>28.963599579935899</v>
      </c>
      <c r="Y21" s="22">
        <v>10</v>
      </c>
      <c r="Z21" s="40">
        <v>0.16</v>
      </c>
      <c r="AA21" s="5">
        <f>Z21*$Q$45</f>
        <v>2.4727272727272727</v>
      </c>
      <c r="AB21" s="60">
        <v>1.5454545454545454</v>
      </c>
    </row>
    <row r="22" spans="1:28" x14ac:dyDescent="0.3">
      <c r="N22" s="21"/>
      <c r="O22" s="87">
        <f>$P$35*U22*R36/$S$35</f>
        <v>6270315.2438076902</v>
      </c>
      <c r="P22" s="79">
        <v>23.660122388703499</v>
      </c>
      <c r="Q22" s="149">
        <v>1.3106</v>
      </c>
      <c r="R22" s="149">
        <v>0.16813</v>
      </c>
      <c r="S22" s="30">
        <f>Q22/R22</f>
        <v>7.7951585082971508</v>
      </c>
      <c r="U22" s="81">
        <v>3.66435978380964</v>
      </c>
      <c r="V22" s="13">
        <v>0.64249888401793598</v>
      </c>
      <c r="W22" s="4">
        <v>32.720699583762602</v>
      </c>
      <c r="X22" s="69">
        <v>23.660122388703499</v>
      </c>
      <c r="Y22" s="22">
        <v>9</v>
      </c>
      <c r="Z22" s="40">
        <v>0.19900000000000001</v>
      </c>
      <c r="AA22" s="5">
        <f>Z22*$Q$45</f>
        <v>3.0754545454545452</v>
      </c>
      <c r="AB22" s="60">
        <v>1.4836363636363636</v>
      </c>
    </row>
    <row r="23" spans="1:28" x14ac:dyDescent="0.3">
      <c r="N23" s="21"/>
      <c r="O23" s="87">
        <f>$P$35*U23*R37/$S$35</f>
        <v>6852041.081033838</v>
      </c>
      <c r="P23" s="79">
        <v>19.791505574425202</v>
      </c>
      <c r="Q23" s="150">
        <v>1.8220000000000001</v>
      </c>
      <c r="R23" s="149">
        <v>3.4410000000000003E-2</v>
      </c>
      <c r="S23" s="30">
        <f t="shared" ref="S23:S31" si="6">Q23/R23</f>
        <v>52.949723917465853</v>
      </c>
      <c r="U23" s="81">
        <v>4.1784200436891901</v>
      </c>
      <c r="V23" s="13">
        <v>0.530072861268996</v>
      </c>
      <c r="W23" s="4">
        <v>27.926848765295201</v>
      </c>
      <c r="X23" s="69">
        <v>19.791505574425202</v>
      </c>
      <c r="Y23" s="22">
        <v>8</v>
      </c>
      <c r="Z23" s="40">
        <v>0.23799999999999999</v>
      </c>
      <c r="AA23" s="5">
        <f>Z23*$Q$45</f>
        <v>3.6781818181818178</v>
      </c>
      <c r="AB23" s="60">
        <v>1.4218181818181816</v>
      </c>
    </row>
    <row r="24" spans="1:28" x14ac:dyDescent="0.3">
      <c r="N24" s="21"/>
      <c r="O24" s="86">
        <f>$P$35*U24*R38/$S$35</f>
        <v>7392649.0298088165</v>
      </c>
      <c r="P24" s="78">
        <v>16.9530934780759</v>
      </c>
      <c r="Q24" s="151">
        <v>1.7370000000000001</v>
      </c>
      <c r="R24" s="146">
        <v>1.9429999999999999E-2</v>
      </c>
      <c r="S24" s="148">
        <f t="shared" si="6"/>
        <v>89.39783839423572</v>
      </c>
      <c r="U24" s="81">
        <v>4.7129993682076003</v>
      </c>
      <c r="V24" s="13">
        <v>0.44868043598189999</v>
      </c>
      <c r="W24" s="4">
        <v>24.164840726151098</v>
      </c>
      <c r="X24" s="69">
        <v>16.9530934780759</v>
      </c>
      <c r="Y24" s="22">
        <v>7</v>
      </c>
      <c r="Z24" s="40">
        <v>0.27700000000000002</v>
      </c>
      <c r="AA24" s="5">
        <f>Z24*$Q$45</f>
        <v>4.2809090909090912</v>
      </c>
      <c r="AB24" s="60">
        <v>1.3599999999999999</v>
      </c>
    </row>
    <row r="25" spans="1:28" x14ac:dyDescent="0.3">
      <c r="N25" s="21"/>
      <c r="O25" s="86">
        <f>$P$35*U25*R39/$S$35</f>
        <v>7879095.5758644389</v>
      </c>
      <c r="P25" s="78">
        <v>14.8844200697565</v>
      </c>
      <c r="Q25" s="146">
        <v>1.5985</v>
      </c>
      <c r="R25" s="146">
        <v>1.494E-2</v>
      </c>
      <c r="S25" s="148">
        <f t="shared" si="6"/>
        <v>106.9946452476573</v>
      </c>
      <c r="U25" s="81">
        <v>5.2623175050550897</v>
      </c>
      <c r="V25" s="13">
        <v>0.38702797858861598</v>
      </c>
      <c r="W25" s="4">
        <v>21.157831708842298</v>
      </c>
      <c r="X25" s="69">
        <v>14.8844200697565</v>
      </c>
      <c r="Y25" s="22">
        <v>6</v>
      </c>
      <c r="Z25" s="40">
        <v>0.316</v>
      </c>
      <c r="AA25" s="5">
        <f>Z25*$Q$45</f>
        <v>4.8836363636363629</v>
      </c>
      <c r="AB25" s="60">
        <v>1.2981818181818181</v>
      </c>
    </row>
    <row r="26" spans="1:28" x14ac:dyDescent="0.3">
      <c r="N26" s="21"/>
      <c r="O26" s="86">
        <f>$P$35*U26*R40/$S$35</f>
        <v>8303060.372136442</v>
      </c>
      <c r="P26" s="78">
        <v>13.4167608554902</v>
      </c>
      <c r="Q26" s="146">
        <v>1.4654</v>
      </c>
      <c r="R26" s="146">
        <v>1.2829999999999999E-2</v>
      </c>
      <c r="S26" s="148">
        <f t="shared" si="6"/>
        <v>114.21667965705379</v>
      </c>
      <c r="U26" s="81">
        <v>5.8227504029078299</v>
      </c>
      <c r="V26" s="13">
        <v>0.338865191739886</v>
      </c>
      <c r="W26" s="4">
        <v>18.719730787407499</v>
      </c>
      <c r="X26" s="69">
        <v>13.4167608554902</v>
      </c>
      <c r="Y26" s="22">
        <v>5</v>
      </c>
      <c r="Z26" s="40">
        <v>0.35499999999999998</v>
      </c>
      <c r="AA26" s="5">
        <f>Z26*$Q$45</f>
        <v>5.4863636363636354</v>
      </c>
      <c r="AB26" s="60">
        <v>1.2363636363636363</v>
      </c>
    </row>
    <row r="27" spans="1:28" x14ac:dyDescent="0.3">
      <c r="N27" s="21"/>
      <c r="O27" s="87">
        <f>$P$35*U27*R41/$S$35</f>
        <v>8658823.6026383433</v>
      </c>
      <c r="P27" s="79">
        <v>12.4252927177383</v>
      </c>
      <c r="Q27" s="149">
        <v>1.3702000000000001</v>
      </c>
      <c r="R27" s="149">
        <v>1.154E-2</v>
      </c>
      <c r="S27" s="30">
        <f t="shared" si="6"/>
        <v>118.73483535528597</v>
      </c>
      <c r="U27" s="81">
        <v>6.3918307304166699</v>
      </c>
      <c r="V27" s="13">
        <v>0.30031096722133799</v>
      </c>
      <c r="W27" s="4">
        <v>16.715588806542598</v>
      </c>
      <c r="X27" s="69">
        <v>12.4252927177383</v>
      </c>
      <c r="Y27" s="22">
        <v>4</v>
      </c>
      <c r="Z27" s="40">
        <v>0.39400000000000002</v>
      </c>
      <c r="AA27" s="5">
        <f>Z27*$Q$45</f>
        <v>6.0890909090909089</v>
      </c>
      <c r="AB27" s="60">
        <v>1.1745454545454543</v>
      </c>
    </row>
    <row r="28" spans="1:28" x14ac:dyDescent="0.3">
      <c r="N28" s="21"/>
      <c r="O28" s="87">
        <f>$P$35*U28*R42/$S$35</f>
        <v>8941598.9245350175</v>
      </c>
      <c r="P28" s="79">
        <v>11.752608202483099</v>
      </c>
      <c r="Q28" s="150">
        <v>1.3049999999999999</v>
      </c>
      <c r="R28" s="149">
        <v>1.074E-2</v>
      </c>
      <c r="S28" s="30">
        <f t="shared" si="6"/>
        <v>121.50837988826815</v>
      </c>
      <c r="U28" s="81">
        <v>6.9672702201864096</v>
      </c>
      <c r="V28" s="13">
        <v>0.26795264281620301</v>
      </c>
      <c r="W28" s="4">
        <v>15.0001844494571</v>
      </c>
      <c r="X28" s="69">
        <v>11.752608202483099</v>
      </c>
      <c r="Y28" s="22">
        <v>3</v>
      </c>
      <c r="Z28" s="40">
        <v>0.433</v>
      </c>
      <c r="AA28" s="5">
        <f>Z28*$Q$45</f>
        <v>6.6918181818181814</v>
      </c>
      <c r="AB28" s="60">
        <v>1.1127272727272726</v>
      </c>
    </row>
    <row r="29" spans="1:28" x14ac:dyDescent="0.3">
      <c r="N29" s="23"/>
      <c r="O29" s="87">
        <f>$P$35*U29*R43/$S$35</f>
        <v>9147851.0065926034</v>
      </c>
      <c r="P29" s="79">
        <v>11.2352403674432</v>
      </c>
      <c r="Q29" s="149">
        <v>1.2588999999999999</v>
      </c>
      <c r="R29" s="149">
        <v>1.017E-2</v>
      </c>
      <c r="S29" s="30">
        <f t="shared" si="6"/>
        <v>123.78564405113076</v>
      </c>
      <c r="U29" s="81">
        <v>7.5472743141833103</v>
      </c>
      <c r="V29" s="13">
        <v>0.238697400882104</v>
      </c>
      <c r="W29" s="4">
        <v>13.4251437743184</v>
      </c>
      <c r="X29" s="69">
        <v>11.2352403674432</v>
      </c>
      <c r="Y29" s="22">
        <v>2</v>
      </c>
      <c r="Z29" s="40">
        <v>0.47199999999999998</v>
      </c>
      <c r="AA29" s="5">
        <f>Z29*$Q$45</f>
        <v>7.2945454545454531</v>
      </c>
      <c r="AB29" s="60">
        <v>1.0509090909090908</v>
      </c>
    </row>
    <row r="30" spans="1:28" x14ac:dyDescent="0.3">
      <c r="N30" s="21"/>
      <c r="O30" s="87">
        <f>$P$35*U30*R44/$S$35</f>
        <v>9273793.5492117256</v>
      </c>
      <c r="P30" s="78">
        <v>10.5683661757474</v>
      </c>
      <c r="Q30" s="150">
        <v>1.1811</v>
      </c>
      <c r="R30" s="149">
        <v>9.5099999999999994E-3</v>
      </c>
      <c r="S30" s="30">
        <f t="shared" si="6"/>
        <v>124.19558359621452</v>
      </c>
      <c r="U30" s="81">
        <v>8.1293798167431408</v>
      </c>
      <c r="V30" s="13">
        <v>0.20700767069663101</v>
      </c>
      <c r="W30" s="4">
        <v>11.695474344230901</v>
      </c>
      <c r="X30" s="69">
        <v>10.5683661757474</v>
      </c>
      <c r="Y30" s="22">
        <v>1</v>
      </c>
      <c r="Z30" s="40">
        <v>0.51100000000000001</v>
      </c>
      <c r="AA30" s="5">
        <f>Z30*$Q$45</f>
        <v>7.8972727272727266</v>
      </c>
      <c r="AB30" s="60">
        <v>0.98909090909090902</v>
      </c>
    </row>
    <row r="31" spans="1:28" ht="14.5" thickBot="1" x14ac:dyDescent="0.35">
      <c r="B31" s="2">
        <v>6</v>
      </c>
      <c r="D31" s="2">
        <v>7</v>
      </c>
      <c r="F31" s="2">
        <v>8</v>
      </c>
      <c r="H31" s="2">
        <v>9</v>
      </c>
      <c r="J31" s="2">
        <v>10</v>
      </c>
      <c r="N31" s="24"/>
      <c r="O31" s="88">
        <f>$P$35*U31*R45/$S$35</f>
        <v>9279177.1763620637</v>
      </c>
      <c r="P31" s="80">
        <v>6.91761545702271</v>
      </c>
      <c r="Q31" s="109">
        <v>0.7782</v>
      </c>
      <c r="R31" s="109">
        <v>6.9300000000000004E-3</v>
      </c>
      <c r="S31" s="31">
        <f t="shared" si="6"/>
        <v>112.29437229437229</v>
      </c>
      <c r="U31" s="76">
        <v>8.6763723608275516</v>
      </c>
      <c r="V31" s="28">
        <v>0.12044204150550403</v>
      </c>
      <c r="W31" s="27">
        <v>6.91761545702271</v>
      </c>
      <c r="X31" s="70">
        <v>6.91761545702271</v>
      </c>
      <c r="Y31" s="29">
        <v>0</v>
      </c>
      <c r="Z31" s="41">
        <v>0.55000000000000004</v>
      </c>
      <c r="AA31" s="36">
        <f>Z31*$Q$45</f>
        <v>8.5</v>
      </c>
      <c r="AB31" s="61">
        <v>0.92727272727272714</v>
      </c>
    </row>
    <row r="32" spans="1:28" ht="14.5" thickBot="1" x14ac:dyDescent="0.35"/>
    <row r="33" spans="1:23" x14ac:dyDescent="0.3">
      <c r="N33" s="140" t="s">
        <v>27</v>
      </c>
      <c r="O33" s="141"/>
      <c r="P33" s="154"/>
      <c r="Q33" s="154"/>
      <c r="R33" s="154"/>
      <c r="S33" s="223"/>
    </row>
    <row r="34" spans="1:23" x14ac:dyDescent="0.3">
      <c r="N34" s="134" t="s">
        <v>51</v>
      </c>
      <c r="O34" s="135"/>
      <c r="P34" s="47" t="s">
        <v>1</v>
      </c>
      <c r="Q34" s="47" t="s">
        <v>40</v>
      </c>
      <c r="R34" s="47" t="s">
        <v>3</v>
      </c>
      <c r="S34" s="56" t="s">
        <v>2</v>
      </c>
      <c r="T34" s="12" t="s">
        <v>53</v>
      </c>
      <c r="W34"/>
    </row>
    <row r="35" spans="1:23" x14ac:dyDescent="0.3">
      <c r="N35" s="21"/>
      <c r="O35" s="63">
        <f>$P$35*$Q$35*R35/$S$35</f>
        <v>3564921.9860042287</v>
      </c>
      <c r="P35" s="2">
        <v>1025</v>
      </c>
      <c r="Q35" s="2">
        <v>2</v>
      </c>
      <c r="R35" s="57">
        <v>1.5454545454545454</v>
      </c>
      <c r="S35" s="35">
        <v>8.8871000000000002E-4</v>
      </c>
      <c r="W35"/>
    </row>
    <row r="36" spans="1:23" x14ac:dyDescent="0.3">
      <c r="N36" s="21"/>
      <c r="O36" s="63">
        <f>$P$35*$Q$35*R36/$S$35</f>
        <v>3422325.1065640594</v>
      </c>
      <c r="P36" s="56"/>
      <c r="Q36" s="11" t="s">
        <v>39</v>
      </c>
      <c r="R36" s="57">
        <v>1.4836363636363636</v>
      </c>
      <c r="S36" s="22"/>
      <c r="W36"/>
    </row>
    <row r="37" spans="1:23" x14ac:dyDescent="0.3">
      <c r="N37" s="21"/>
      <c r="O37" s="63">
        <f>$P$35*$Q$35*R37/$S$35</f>
        <v>3279728.2271238901</v>
      </c>
      <c r="P37" s="35"/>
      <c r="Q37" s="2">
        <v>1</v>
      </c>
      <c r="R37" s="57">
        <v>1.4218181818181816</v>
      </c>
      <c r="S37" s="22"/>
      <c r="W37"/>
    </row>
    <row r="38" spans="1:23" x14ac:dyDescent="0.3">
      <c r="N38" s="21"/>
      <c r="O38" s="63">
        <f>$P$35*$Q$35*R38/$S$35</f>
        <v>3137131.3476837208</v>
      </c>
      <c r="Q38" s="11" t="s">
        <v>52</v>
      </c>
      <c r="R38" s="57">
        <v>1.3599999999999999</v>
      </c>
      <c r="S38" s="22"/>
    </row>
    <row r="39" spans="1:23" x14ac:dyDescent="0.3">
      <c r="N39" s="21"/>
      <c r="O39" s="63">
        <f>$P$35*$Q$35*R39/$S$35</f>
        <v>2994534.4682435519</v>
      </c>
      <c r="Q39" s="2">
        <v>8.5</v>
      </c>
      <c r="R39" s="57">
        <v>1.2981818181818181</v>
      </c>
      <c r="S39" s="22"/>
      <c r="W39"/>
    </row>
    <row r="40" spans="1:23" x14ac:dyDescent="0.3">
      <c r="N40" s="21"/>
      <c r="O40" s="63">
        <f>$P$35*$Q$35*R40/$S$35</f>
        <v>2851937.5888033831</v>
      </c>
      <c r="Q40" s="11" t="s">
        <v>41</v>
      </c>
      <c r="R40" s="57">
        <v>1.2363636363636363</v>
      </c>
      <c r="S40" s="22"/>
      <c r="W40"/>
    </row>
    <row r="41" spans="1:23" x14ac:dyDescent="0.3">
      <c r="N41" s="21"/>
      <c r="O41" s="63">
        <f>$P$35*$Q$35*R41/$S$35</f>
        <v>2709340.7093632133</v>
      </c>
      <c r="Q41" s="5">
        <f>J15-J14</f>
        <v>0.60269999999999957</v>
      </c>
      <c r="R41" s="57">
        <v>1.1745454545454543</v>
      </c>
      <c r="S41" s="22"/>
      <c r="W41"/>
    </row>
    <row r="42" spans="1:23" x14ac:dyDescent="0.3">
      <c r="A42" s="136" t="s">
        <v>94</v>
      </c>
      <c r="B42" s="137"/>
      <c r="C42" s="137"/>
      <c r="N42" s="21"/>
      <c r="O42" s="63">
        <f>$P$35*$Q$35*R42/$S$35</f>
        <v>2566743.829923044</v>
      </c>
      <c r="Q42" s="11" t="s">
        <v>42</v>
      </c>
      <c r="R42" s="57">
        <v>1.1127272727272726</v>
      </c>
      <c r="S42" s="22"/>
    </row>
    <row r="43" spans="1:23" x14ac:dyDescent="0.3">
      <c r="B43" s="2" t="s">
        <v>50</v>
      </c>
      <c r="D43" s="2">
        <v>1</v>
      </c>
      <c r="F43" s="2">
        <v>2</v>
      </c>
      <c r="H43" s="2">
        <v>3</v>
      </c>
      <c r="J43" s="2">
        <v>4</v>
      </c>
      <c r="L43" s="2">
        <v>5</v>
      </c>
      <c r="N43" s="21"/>
      <c r="O43" s="63">
        <f>$P$35*$Q$35*R43/$S$35</f>
        <v>2424146.9504828751</v>
      </c>
      <c r="Q43" s="5">
        <f>R44-R45</f>
        <v>6.1818181818181883E-2</v>
      </c>
      <c r="R43" s="57">
        <v>1.0509090909090908</v>
      </c>
      <c r="S43" s="22"/>
      <c r="W43" s="7"/>
    </row>
    <row r="44" spans="1:23" x14ac:dyDescent="0.3">
      <c r="N44" s="21"/>
      <c r="O44" s="63">
        <f>$P$35*$Q$35*R44/$S$35</f>
        <v>2281550.0710427063</v>
      </c>
      <c r="Q44" s="11" t="s">
        <v>48</v>
      </c>
      <c r="R44" s="57">
        <v>0.98909090909090902</v>
      </c>
      <c r="S44" s="22"/>
      <c r="U44" s="12" t="s">
        <v>29</v>
      </c>
    </row>
    <row r="45" spans="1:23" ht="14.5" thickBot="1" x14ac:dyDescent="0.35">
      <c r="N45" s="24"/>
      <c r="O45" s="64">
        <f>$P$35*$Q$35*R45/$S$35</f>
        <v>2138953.1916025369</v>
      </c>
      <c r="P45" s="26"/>
      <c r="Q45" s="37">
        <f>8.5/0.55</f>
        <v>15.454545454545453</v>
      </c>
      <c r="R45" s="58">
        <v>0.92727272727272714</v>
      </c>
      <c r="S45" s="29"/>
    </row>
    <row r="48" spans="1:23" x14ac:dyDescent="0.3">
      <c r="P48" s="5"/>
    </row>
    <row r="49" spans="2:32" x14ac:dyDescent="0.3">
      <c r="P49" s="5"/>
      <c r="U49" s="217"/>
      <c r="V49" s="217"/>
      <c r="W49" s="217"/>
      <c r="X49" s="217"/>
      <c r="Y49" s="217"/>
      <c r="Z49" s="217"/>
      <c r="AA49" s="217"/>
      <c r="AB49" s="217"/>
      <c r="AC49" s="217"/>
      <c r="AD49" s="217"/>
      <c r="AE49" s="217"/>
      <c r="AF49" s="217"/>
    </row>
    <row r="50" spans="2:32" x14ac:dyDescent="0.3">
      <c r="P50" s="38"/>
      <c r="U50" s="218"/>
      <c r="V50" s="217"/>
      <c r="W50" s="219"/>
      <c r="X50" s="220"/>
      <c r="Y50" s="218"/>
      <c r="Z50" s="218"/>
      <c r="AA50" s="217"/>
      <c r="AB50" s="219"/>
      <c r="AC50" s="217"/>
      <c r="AD50" s="219"/>
      <c r="AE50" s="217"/>
      <c r="AF50" s="217"/>
    </row>
    <row r="51" spans="2:32" x14ac:dyDescent="0.3">
      <c r="P51" s="38"/>
      <c r="U51" s="221"/>
      <c r="V51" s="217"/>
      <c r="W51" s="217"/>
      <c r="X51" s="218"/>
      <c r="Y51" s="218"/>
      <c r="Z51" s="218"/>
      <c r="AA51" s="217"/>
      <c r="AB51" s="217"/>
      <c r="AC51" s="217"/>
      <c r="AD51" s="217"/>
      <c r="AE51" s="217"/>
      <c r="AF51" s="217"/>
    </row>
    <row r="52" spans="2:32" x14ac:dyDescent="0.3">
      <c r="P52" s="38"/>
      <c r="U52" s="217"/>
      <c r="V52" s="217"/>
      <c r="W52" s="217"/>
      <c r="X52" s="217"/>
      <c r="Y52" s="217"/>
      <c r="Z52" s="217"/>
      <c r="AA52" s="217"/>
      <c r="AB52" s="217"/>
      <c r="AC52" s="217"/>
      <c r="AD52" s="217"/>
      <c r="AE52" s="217"/>
      <c r="AF52" s="217"/>
    </row>
    <row r="53" spans="2:32" x14ac:dyDescent="0.3">
      <c r="P53" s="38"/>
    </row>
    <row r="54" spans="2:32" x14ac:dyDescent="0.3">
      <c r="B54" s="2">
        <v>6</v>
      </c>
      <c r="H54" s="2">
        <v>8</v>
      </c>
      <c r="J54" s="2">
        <v>9</v>
      </c>
      <c r="L54" s="2">
        <v>10</v>
      </c>
      <c r="P54" s="38"/>
    </row>
    <row r="55" spans="2:32" x14ac:dyDescent="0.3">
      <c r="P55" s="38"/>
    </row>
    <row r="56" spans="2:32" x14ac:dyDescent="0.3">
      <c r="P56" s="38"/>
    </row>
    <row r="57" spans="2:32" x14ac:dyDescent="0.3">
      <c r="P57" s="38"/>
    </row>
    <row r="58" spans="2:32" x14ac:dyDescent="0.3">
      <c r="P58" s="38"/>
    </row>
    <row r="59" spans="2:32" x14ac:dyDescent="0.3">
      <c r="P59" s="38"/>
    </row>
    <row r="60" spans="2:32" x14ac:dyDescent="0.3">
      <c r="P60" s="38"/>
    </row>
  </sheetData>
  <mergeCells count="10">
    <mergeCell ref="I3:K3"/>
    <mergeCell ref="A3:B3"/>
    <mergeCell ref="A20:B20"/>
    <mergeCell ref="A42:C42"/>
    <mergeCell ref="U19:AB19"/>
    <mergeCell ref="V3:Y3"/>
    <mergeCell ref="A19:C19"/>
    <mergeCell ref="N34:O34"/>
    <mergeCell ref="N33:O33"/>
    <mergeCell ref="N19:Q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C8F7E-1E9B-4438-84C1-465DBA3A3792}">
  <dimension ref="A2:AC61"/>
  <sheetViews>
    <sheetView zoomScale="85" zoomScaleNormal="85" workbookViewId="0">
      <selection activeCell="A18" sqref="A18:C18"/>
    </sheetView>
  </sheetViews>
  <sheetFormatPr defaultRowHeight="14" x14ac:dyDescent="0.3"/>
  <cols>
    <col min="1" max="2" width="8.6640625" style="2"/>
    <col min="3" max="3" width="7.75" style="2" customWidth="1"/>
    <col min="4" max="5" width="8.6640625" style="2"/>
    <col min="6" max="6" width="6.5" style="2" customWidth="1"/>
    <col min="7" max="7" width="7.83203125" style="2" customWidth="1"/>
    <col min="8" max="8" width="8" style="2" customWidth="1"/>
    <col min="9" max="10" width="8.6640625" style="2"/>
    <col min="11" max="11" width="8.1640625" style="2" customWidth="1"/>
    <col min="12" max="12" width="9.1640625" style="2" customWidth="1"/>
    <col min="13" max="13" width="10.25" style="2" customWidth="1"/>
    <col min="14" max="14" width="8.6640625" style="2" customWidth="1"/>
    <col min="15" max="15" width="9.5" style="2" customWidth="1"/>
    <col min="16" max="16" width="11.4140625" style="2" customWidth="1"/>
    <col min="17" max="17" width="8.9140625" style="2" customWidth="1"/>
    <col min="18" max="18" width="8.6640625" style="2"/>
    <col min="19" max="21" width="9.1640625" style="2" bestFit="1" customWidth="1"/>
    <col min="22" max="22" width="9.83203125" style="2" customWidth="1"/>
    <col min="23" max="23" width="9.9140625" style="2" customWidth="1"/>
    <col min="24" max="24" width="9" style="2" customWidth="1"/>
    <col min="25" max="25" width="7.83203125" style="2" customWidth="1"/>
    <col min="26" max="26" width="7.75" style="2" customWidth="1"/>
    <col min="27" max="27" width="8.25" style="2" customWidth="1"/>
    <col min="28" max="28" width="8.6640625" style="2" customWidth="1"/>
    <col min="29" max="29" width="8.33203125" style="2" customWidth="1"/>
    <col min="30" max="16384" width="8.6640625" style="2"/>
  </cols>
  <sheetData>
    <row r="2" spans="1:29" ht="14.5" thickBot="1" x14ac:dyDescent="0.35">
      <c r="A2" s="2" t="s">
        <v>34</v>
      </c>
    </row>
    <row r="3" spans="1:29" x14ac:dyDescent="0.3">
      <c r="A3" s="138" t="s">
        <v>36</v>
      </c>
      <c r="B3" s="139"/>
      <c r="C3" s="32"/>
      <c r="D3" s="32"/>
      <c r="E3" s="32"/>
      <c r="F3" s="32"/>
      <c r="G3" s="33"/>
      <c r="I3" s="138" t="s">
        <v>35</v>
      </c>
      <c r="J3" s="139"/>
      <c r="K3" s="139"/>
      <c r="L3" s="15"/>
      <c r="M3" s="15"/>
      <c r="N3" s="15"/>
      <c r="O3" s="15"/>
      <c r="P3" s="15"/>
      <c r="Q3" s="15"/>
      <c r="R3" s="15"/>
      <c r="S3" s="15"/>
      <c r="T3" s="15"/>
      <c r="U3" s="16"/>
      <c r="V3" s="138" t="s">
        <v>95</v>
      </c>
      <c r="W3" s="139"/>
      <c r="X3" s="139"/>
      <c r="Y3" s="15"/>
      <c r="Z3" s="15"/>
      <c r="AA3" s="15"/>
      <c r="AB3" s="15"/>
      <c r="AC3" s="16"/>
    </row>
    <row r="4" spans="1:29" s="14" customFormat="1" x14ac:dyDescent="0.3">
      <c r="A4" s="17" t="s">
        <v>5</v>
      </c>
      <c r="B4" s="90" t="s">
        <v>0</v>
      </c>
      <c r="C4" s="14" t="s">
        <v>4</v>
      </c>
      <c r="D4" s="14" t="s">
        <v>6</v>
      </c>
      <c r="E4" s="14" t="s">
        <v>7</v>
      </c>
      <c r="F4" s="14" t="s">
        <v>8</v>
      </c>
      <c r="G4" s="34" t="s">
        <v>9</v>
      </c>
      <c r="I4" s="39" t="s">
        <v>33</v>
      </c>
      <c r="J4" s="14" t="s">
        <v>10</v>
      </c>
      <c r="K4" s="14" t="s">
        <v>11</v>
      </c>
      <c r="L4" s="14" t="s">
        <v>12</v>
      </c>
      <c r="M4" s="93" t="s">
        <v>13</v>
      </c>
      <c r="N4" s="93" t="s">
        <v>14</v>
      </c>
      <c r="O4" s="93" t="s">
        <v>15</v>
      </c>
      <c r="P4" s="14" t="s">
        <v>16</v>
      </c>
      <c r="Q4" s="14" t="s">
        <v>17</v>
      </c>
      <c r="R4" s="71" t="s">
        <v>18</v>
      </c>
      <c r="S4" s="14" t="s">
        <v>19</v>
      </c>
      <c r="T4" s="14" t="s">
        <v>20</v>
      </c>
      <c r="U4" s="65" t="s">
        <v>21</v>
      </c>
      <c r="V4" s="170" t="s">
        <v>22</v>
      </c>
      <c r="W4" s="156" t="s">
        <v>23</v>
      </c>
      <c r="X4" s="157" t="s">
        <v>43</v>
      </c>
      <c r="Y4" s="157" t="s">
        <v>24</v>
      </c>
      <c r="Z4" s="157" t="s">
        <v>25</v>
      </c>
      <c r="AA4" s="157" t="s">
        <v>26</v>
      </c>
      <c r="AB4" s="158" t="s">
        <v>6</v>
      </c>
      <c r="AC4" s="159" t="s">
        <v>7</v>
      </c>
    </row>
    <row r="5" spans="1:29" x14ac:dyDescent="0.3">
      <c r="A5" s="21">
        <v>9</v>
      </c>
      <c r="B5" s="63">
        <v>3564921.9860042287</v>
      </c>
      <c r="C5" s="2">
        <v>0</v>
      </c>
      <c r="D5" s="8">
        <v>0</v>
      </c>
      <c r="E5" s="8">
        <v>9.6000000000000002E-4</v>
      </c>
      <c r="F5" s="9"/>
      <c r="G5" s="30">
        <f>D5/E5</f>
        <v>0</v>
      </c>
      <c r="I5" s="18">
        <v>0</v>
      </c>
      <c r="J5" s="1">
        <v>2.4729999999999999</v>
      </c>
      <c r="K5" s="113">
        <v>6.3999999999999997E-5</v>
      </c>
      <c r="L5" s="113">
        <v>-6.0999999999999999E-5</v>
      </c>
      <c r="M5" s="113">
        <v>6.3999999999999997E-5</v>
      </c>
      <c r="N5" s="113">
        <v>-6.0999999999999999E-5</v>
      </c>
      <c r="O5" s="94">
        <v>1</v>
      </c>
      <c r="P5" s="62">
        <f>(1-M5)*$Q$34</f>
        <v>1.9998720000000001</v>
      </c>
      <c r="Q5" s="62">
        <f>(1+N5)*$Q$36*J5</f>
        <v>3.1157899252199996</v>
      </c>
      <c r="R5" s="72">
        <f>SQRT(P5^2+Q5^2)</f>
        <v>3.7023823241916078</v>
      </c>
      <c r="S5" s="5">
        <f>P5/Q5</f>
        <v>0.64185071779471559</v>
      </c>
      <c r="T5" s="4">
        <f>DEGREES(ATAN(S5))</f>
        <v>32.694405692366992</v>
      </c>
      <c r="U5" s="66">
        <f>T5-10</f>
        <v>22.694405692366992</v>
      </c>
      <c r="V5" s="171">
        <v>0</v>
      </c>
      <c r="W5" s="172">
        <v>4.6339259682197396</v>
      </c>
      <c r="X5" s="171">
        <v>2.24399658463203</v>
      </c>
      <c r="Y5" s="171">
        <v>-4.0543494184765398</v>
      </c>
      <c r="Z5" s="162">
        <v>4.6488371545442799E-4</v>
      </c>
      <c r="AA5" s="162">
        <v>-8.3993043230096501E-4</v>
      </c>
      <c r="AB5" s="163">
        <v>0</v>
      </c>
      <c r="AC5" s="164">
        <v>9.6000000000000002E-4</v>
      </c>
    </row>
    <row r="6" spans="1:29" x14ac:dyDescent="0.3">
      <c r="A6" s="21"/>
      <c r="B6" s="63">
        <v>3422325.1065640594</v>
      </c>
      <c r="C6" s="2">
        <v>1</v>
      </c>
      <c r="D6" s="8">
        <v>0.1106</v>
      </c>
      <c r="E6" s="8">
        <v>9.7000000000000005E-4</v>
      </c>
      <c r="F6" s="9"/>
      <c r="G6" s="30">
        <f t="shared" ref="G6:G15" si="0">D6/E6</f>
        <v>114.02061855670102</v>
      </c>
      <c r="I6" s="18">
        <v>1</v>
      </c>
      <c r="J6" s="1">
        <v>3.0756999999999999</v>
      </c>
      <c r="K6" s="113">
        <v>2.1353E-2</v>
      </c>
      <c r="L6" s="113">
        <v>2.173E-3</v>
      </c>
      <c r="M6" s="113">
        <v>2.1354999999999999E-2</v>
      </c>
      <c r="N6" s="113">
        <v>2.173E-3</v>
      </c>
      <c r="O6" s="94">
        <v>0.99990000000000001</v>
      </c>
      <c r="P6" s="62">
        <f t="shared" ref="P6:P15" si="1">(1-M6)*$Q$34</f>
        <v>1.95729</v>
      </c>
      <c r="Q6" s="62">
        <f t="shared" ref="Q6:Q15" si="2">(1+N6)*$Q$36*J6</f>
        <v>3.8838032050860001</v>
      </c>
      <c r="R6" s="72">
        <f t="shared" ref="R6:R15" si="3">SQRT(P6^2+Q6^2)</f>
        <v>4.349127668847661</v>
      </c>
      <c r="S6" s="5">
        <f t="shared" ref="S6:S15" si="4">P6/Q6</f>
        <v>0.5039621980425909</v>
      </c>
      <c r="T6" s="4">
        <f t="shared" ref="T6:T15" si="5">DEGREES(ATAN(S6))</f>
        <v>26.74637697162327</v>
      </c>
      <c r="U6" s="66">
        <f>T6-9</f>
        <v>17.74637697162327</v>
      </c>
      <c r="V6" s="171">
        <v>679.37169475070596</v>
      </c>
      <c r="W6" s="172">
        <v>5.9583231818099902</v>
      </c>
      <c r="X6" s="171">
        <v>624.65632972402796</v>
      </c>
      <c r="Y6" s="171">
        <v>267.18134474414802</v>
      </c>
      <c r="Z6" s="162">
        <v>0.101692476447416</v>
      </c>
      <c r="AA6" s="162">
        <v>4.3496449671112998E-2</v>
      </c>
      <c r="AB6" s="163">
        <v>0.1106</v>
      </c>
      <c r="AC6" s="164">
        <v>9.7000000000000005E-4</v>
      </c>
    </row>
    <row r="7" spans="1:29" x14ac:dyDescent="0.3">
      <c r="A7" s="21"/>
      <c r="B7" s="63">
        <v>3279728.2271238901</v>
      </c>
      <c r="C7" s="2">
        <v>2</v>
      </c>
      <c r="D7" s="8">
        <v>0.22059999999999999</v>
      </c>
      <c r="E7" s="8">
        <v>1E-3</v>
      </c>
      <c r="F7" s="9"/>
      <c r="G7" s="30">
        <f t="shared" si="0"/>
        <v>220.6</v>
      </c>
      <c r="I7" s="18">
        <v>2</v>
      </c>
      <c r="J7" s="1">
        <v>3.6783999999999999</v>
      </c>
      <c r="K7" s="113">
        <v>5.2017000000000001E-2</v>
      </c>
      <c r="L7" s="113">
        <v>3.4480000000000001E-3</v>
      </c>
      <c r="M7" s="113">
        <v>5.203E-2</v>
      </c>
      <c r="N7" s="113">
        <v>3.4489999999999998E-3</v>
      </c>
      <c r="O7" s="94">
        <v>0.99980000000000002</v>
      </c>
      <c r="P7" s="62">
        <f t="shared" si="1"/>
        <v>1.89594</v>
      </c>
      <c r="Q7" s="62">
        <f t="shared" si="2"/>
        <v>4.6507693700159995</v>
      </c>
      <c r="R7" s="72">
        <f t="shared" si="3"/>
        <v>5.0223743604672695</v>
      </c>
      <c r="S7" s="5">
        <f t="shared" si="4"/>
        <v>0.4076615822369789</v>
      </c>
      <c r="T7" s="4">
        <f t="shared" si="5"/>
        <v>22.178834751192309</v>
      </c>
      <c r="U7" s="66">
        <f>T7-8</f>
        <v>14.178834751192309</v>
      </c>
      <c r="V7" s="171">
        <v>1686.5353633407501</v>
      </c>
      <c r="W7" s="172">
        <v>7.6452192354521999</v>
      </c>
      <c r="X7" s="171">
        <v>1589.5021936067899</v>
      </c>
      <c r="Y7" s="171">
        <v>563.86413052726505</v>
      </c>
      <c r="Z7" s="162">
        <v>0.207907993826521</v>
      </c>
      <c r="AA7" s="162">
        <v>7.3753820938519302E-2</v>
      </c>
      <c r="AB7" s="163">
        <v>0.22059999999999999</v>
      </c>
      <c r="AC7" s="164">
        <v>1E-3</v>
      </c>
    </row>
    <row r="8" spans="1:29" x14ac:dyDescent="0.3">
      <c r="A8" s="21"/>
      <c r="B8" s="63">
        <v>3137131.3476837208</v>
      </c>
      <c r="C8" s="2">
        <v>3</v>
      </c>
      <c r="D8" s="8">
        <v>0.32929999999999998</v>
      </c>
      <c r="E8" s="8">
        <v>1.06E-3</v>
      </c>
      <c r="F8" s="9"/>
      <c r="G8" s="30">
        <f t="shared" si="0"/>
        <v>310.66037735849056</v>
      </c>
      <c r="I8" s="18">
        <v>3</v>
      </c>
      <c r="J8" s="1">
        <v>4.2811000000000003</v>
      </c>
      <c r="K8" s="113">
        <v>9.2839000000000005E-2</v>
      </c>
      <c r="L8" s="113">
        <v>4.1980000000000003E-3</v>
      </c>
      <c r="M8" s="113">
        <v>9.2884999999999995E-2</v>
      </c>
      <c r="N8" s="113">
        <v>4.1999999999999997E-3</v>
      </c>
      <c r="O8" s="94">
        <v>0.99960000000000004</v>
      </c>
      <c r="P8" s="62">
        <f t="shared" si="1"/>
        <v>1.81423</v>
      </c>
      <c r="Q8" s="62">
        <f t="shared" si="2"/>
        <v>5.4168415812000008</v>
      </c>
      <c r="R8" s="72">
        <f t="shared" si="3"/>
        <v>5.7125828841879684</v>
      </c>
      <c r="S8" s="5">
        <f t="shared" si="4"/>
        <v>0.33492395389530499</v>
      </c>
      <c r="T8" s="4">
        <f t="shared" si="5"/>
        <v>18.516931906257984</v>
      </c>
      <c r="U8" s="66">
        <f>T8-7</f>
        <v>11.516931906257984</v>
      </c>
      <c r="V8" s="171">
        <v>3061.2209119327599</v>
      </c>
      <c r="W8" s="172">
        <v>9.8539148698716499</v>
      </c>
      <c r="X8" s="171">
        <v>2931.0651912568201</v>
      </c>
      <c r="Y8" s="171">
        <v>883.19160769074495</v>
      </c>
      <c r="Z8" s="162">
        <v>0.31529895922195</v>
      </c>
      <c r="AA8" s="162">
        <v>9.5006209868381306E-2</v>
      </c>
      <c r="AB8" s="163">
        <v>0.32929999999999998</v>
      </c>
      <c r="AC8" s="164">
        <v>1.06E-3</v>
      </c>
    </row>
    <row r="9" spans="1:29" x14ac:dyDescent="0.3">
      <c r="A9" s="21"/>
      <c r="B9" s="63">
        <v>2994534.4682435519</v>
      </c>
      <c r="C9" s="2">
        <v>4</v>
      </c>
      <c r="D9" s="8">
        <v>0.43619999999999998</v>
      </c>
      <c r="E9" s="8">
        <v>1.15E-3</v>
      </c>
      <c r="F9" s="9"/>
      <c r="G9" s="30">
        <f t="shared" si="0"/>
        <v>379.30434782608694</v>
      </c>
      <c r="I9" s="18">
        <v>4</v>
      </c>
      <c r="J9" s="1">
        <v>4.8837999999999999</v>
      </c>
      <c r="K9" s="113">
        <v>0.143452</v>
      </c>
      <c r="L9" s="113">
        <v>4.6249999999999998E-3</v>
      </c>
      <c r="M9" s="113">
        <v>0.143622</v>
      </c>
      <c r="N9" s="113">
        <v>4.6290000000000003E-3</v>
      </c>
      <c r="O9" s="94">
        <v>0.99919999999999998</v>
      </c>
      <c r="P9" s="62">
        <f t="shared" si="1"/>
        <v>1.7127559999999999</v>
      </c>
      <c r="Q9" s="62">
        <f t="shared" si="2"/>
        <v>6.1820729588519994</v>
      </c>
      <c r="R9" s="72">
        <f t="shared" si="3"/>
        <v>6.4149481045527654</v>
      </c>
      <c r="S9" s="5">
        <f t="shared" si="4"/>
        <v>0.27705205218381246</v>
      </c>
      <c r="T9" s="4">
        <f t="shared" si="5"/>
        <v>15.485501345824904</v>
      </c>
      <c r="U9" s="66">
        <f>T9-6</f>
        <v>9.485501345824904</v>
      </c>
      <c r="V9" s="171">
        <v>4823.6952574855704</v>
      </c>
      <c r="W9" s="172">
        <v>12.7172158324355</v>
      </c>
      <c r="X9" s="171">
        <v>4665.1075725188903</v>
      </c>
      <c r="Y9" s="171">
        <v>1226.77178052569</v>
      </c>
      <c r="Z9" s="162">
        <v>0.42185913796583302</v>
      </c>
      <c r="AA9" s="162">
        <v>0.110935252353451</v>
      </c>
      <c r="AB9" s="163">
        <v>0.43619999999999998</v>
      </c>
      <c r="AC9" s="164">
        <v>1.15E-3</v>
      </c>
    </row>
    <row r="10" spans="1:29" x14ac:dyDescent="0.3">
      <c r="A10" s="21"/>
      <c r="B10" s="63">
        <v>2851937.5888033831</v>
      </c>
      <c r="C10" s="2">
        <v>5</v>
      </c>
      <c r="D10" s="8">
        <v>0.54069999999999996</v>
      </c>
      <c r="E10" s="8">
        <v>1.2700000000000001E-3</v>
      </c>
      <c r="F10" s="9"/>
      <c r="G10" s="30">
        <f t="shared" si="0"/>
        <v>425.74803149606294</v>
      </c>
      <c r="I10" s="18">
        <v>5</v>
      </c>
      <c r="J10" s="1">
        <v>5.4864999999999897</v>
      </c>
      <c r="K10" s="113">
        <v>0.19948199999999999</v>
      </c>
      <c r="L10" s="113">
        <v>4.8370000000000002E-3</v>
      </c>
      <c r="M10" s="113">
        <v>0.200215</v>
      </c>
      <c r="N10" s="113">
        <v>4.8450000000000003E-3</v>
      </c>
      <c r="O10" s="94">
        <v>0.99829999999999997</v>
      </c>
      <c r="P10" s="62">
        <f t="shared" si="1"/>
        <v>1.5995699999999999</v>
      </c>
      <c r="Q10" s="62">
        <f t="shared" si="2"/>
        <v>6.946483436549987</v>
      </c>
      <c r="R10" s="72">
        <f t="shared" si="3"/>
        <v>7.1282716221510052</v>
      </c>
      <c r="S10" s="5">
        <f t="shared" si="4"/>
        <v>0.23027046916769675</v>
      </c>
      <c r="T10" s="4">
        <f t="shared" si="5"/>
        <v>12.967481795097717</v>
      </c>
      <c r="U10" s="66">
        <f>T10-5</f>
        <v>7.9674817950977168</v>
      </c>
      <c r="V10" s="171">
        <v>6972.7373497484296</v>
      </c>
      <c r="W10" s="172">
        <v>16.377615006806899</v>
      </c>
      <c r="X10" s="171">
        <v>6786.2379578314203</v>
      </c>
      <c r="Y10" s="171">
        <v>1601.97027267615</v>
      </c>
      <c r="Z10" s="162">
        <v>0.52623792920176904</v>
      </c>
      <c r="AA10" s="162">
        <v>0.12422457393540599</v>
      </c>
      <c r="AB10" s="163">
        <v>0.54069999999999996</v>
      </c>
      <c r="AC10" s="164">
        <v>1.2700000000000001E-3</v>
      </c>
    </row>
    <row r="11" spans="1:29" x14ac:dyDescent="0.3">
      <c r="A11" s="21"/>
      <c r="B11" s="63">
        <v>2709340.7093632133</v>
      </c>
      <c r="C11" s="2">
        <v>6</v>
      </c>
      <c r="D11" s="8">
        <v>0.64219999999999999</v>
      </c>
      <c r="E11" s="8">
        <v>1.41E-3</v>
      </c>
      <c r="F11" s="9"/>
      <c r="G11" s="30">
        <f t="shared" si="0"/>
        <v>455.46099290780143</v>
      </c>
      <c r="I11" s="18">
        <v>6</v>
      </c>
      <c r="J11" s="1">
        <v>6.0891999999999999</v>
      </c>
      <c r="K11" s="113">
        <v>0.239284</v>
      </c>
      <c r="L11" s="113">
        <v>4.9049999999999996E-3</v>
      </c>
      <c r="M11" s="113">
        <v>0.242977</v>
      </c>
      <c r="N11" s="113">
        <v>4.9300000000000004E-3</v>
      </c>
      <c r="O11" s="94">
        <v>0.99480000000000002</v>
      </c>
      <c r="P11" s="62">
        <f t="shared" si="1"/>
        <v>1.514046</v>
      </c>
      <c r="Q11" s="62">
        <f t="shared" si="2"/>
        <v>7.710216892560001</v>
      </c>
      <c r="R11" s="72">
        <f t="shared" si="3"/>
        <v>7.8574665013879379</v>
      </c>
      <c r="S11" s="5">
        <f t="shared" si="4"/>
        <v>0.1963687949506302</v>
      </c>
      <c r="T11" s="4">
        <f t="shared" si="5"/>
        <v>11.109742797862495</v>
      </c>
      <c r="U11" s="66">
        <f>T11-4</f>
        <v>7.109742797862495</v>
      </c>
      <c r="V11" s="171">
        <v>9485.3487513873097</v>
      </c>
      <c r="W11" s="172">
        <v>20.825820210925102</v>
      </c>
      <c r="X11" s="171">
        <v>9267.6585013102904</v>
      </c>
      <c r="Y11" s="171">
        <v>2020.58915995395</v>
      </c>
      <c r="Z11" s="162">
        <v>0.62746140869843903</v>
      </c>
      <c r="AA11" s="162">
        <v>0.13680280952586299</v>
      </c>
      <c r="AB11" s="163">
        <v>0.64219999999999999</v>
      </c>
      <c r="AC11" s="164">
        <v>1.41E-3</v>
      </c>
    </row>
    <row r="12" spans="1:29" x14ac:dyDescent="0.3">
      <c r="A12" s="21"/>
      <c r="B12" s="63">
        <v>2566743.829923044</v>
      </c>
      <c r="C12" s="2">
        <v>7</v>
      </c>
      <c r="D12" s="8">
        <v>0.75229999999999997</v>
      </c>
      <c r="E12" s="8">
        <v>1.6299999999999999E-3</v>
      </c>
      <c r="F12" s="9"/>
      <c r="G12" s="30">
        <f t="shared" si="0"/>
        <v>461.53374233128835</v>
      </c>
      <c r="I12" s="18">
        <v>7</v>
      </c>
      <c r="J12" s="1">
        <v>6.6918999999999897</v>
      </c>
      <c r="K12" s="113">
        <v>0.242204</v>
      </c>
      <c r="L12" s="113">
        <v>4.9540000000000001E-3</v>
      </c>
      <c r="M12" s="113">
        <v>0.25642199999999998</v>
      </c>
      <c r="N12" s="113">
        <v>5.0639999999999999E-3</v>
      </c>
      <c r="O12" s="94">
        <v>0.97760000000000002</v>
      </c>
      <c r="P12" s="62">
        <f t="shared" si="1"/>
        <v>1.4871560000000001</v>
      </c>
      <c r="Q12" s="62">
        <f t="shared" si="2"/>
        <v>8.4744926048159872</v>
      </c>
      <c r="R12" s="72">
        <f t="shared" si="3"/>
        <v>8.6039908110955619</v>
      </c>
      <c r="S12" s="5">
        <f t="shared" si="4"/>
        <v>0.17548614051003611</v>
      </c>
      <c r="T12" s="4">
        <f t="shared" si="5"/>
        <v>9.9532693983324574</v>
      </c>
      <c r="U12" s="66">
        <f>T12-3</f>
        <v>6.9532693983324574</v>
      </c>
      <c r="V12" s="171">
        <v>12515.928111561399</v>
      </c>
      <c r="W12" s="172">
        <v>27.1181215231226</v>
      </c>
      <c r="X12" s="171">
        <v>12259.070933970401</v>
      </c>
      <c r="Y12" s="171">
        <v>2522.7706439887102</v>
      </c>
      <c r="Z12" s="162">
        <v>0.73686098077750595</v>
      </c>
      <c r="AA12" s="162">
        <v>0.15163720489250501</v>
      </c>
      <c r="AB12" s="163">
        <v>0.75229999999999997</v>
      </c>
      <c r="AC12" s="164">
        <v>1.6299999999999999E-3</v>
      </c>
    </row>
    <row r="13" spans="1:29" x14ac:dyDescent="0.3">
      <c r="A13" s="23"/>
      <c r="B13" s="63">
        <v>2424146.9504828751</v>
      </c>
      <c r="C13" s="2">
        <v>8</v>
      </c>
      <c r="D13" s="8">
        <v>0.87660000000000005</v>
      </c>
      <c r="E13" s="8">
        <v>1.92E-3</v>
      </c>
      <c r="F13" s="9"/>
      <c r="G13" s="30">
        <f t="shared" si="0"/>
        <v>456.5625</v>
      </c>
      <c r="I13" s="18">
        <v>8</v>
      </c>
      <c r="J13" s="1">
        <v>7.2946</v>
      </c>
      <c r="K13" s="113">
        <v>0.22517300000000001</v>
      </c>
      <c r="L13" s="113">
        <v>5.0099999999999997E-3</v>
      </c>
      <c r="M13" s="113">
        <v>0.26816499999999999</v>
      </c>
      <c r="N13" s="113">
        <v>5.4559999999999999E-3</v>
      </c>
      <c r="O13" s="94">
        <v>0.91649999999999998</v>
      </c>
      <c r="P13" s="62">
        <f t="shared" si="1"/>
        <v>1.46367</v>
      </c>
      <c r="Q13" s="62">
        <f t="shared" si="2"/>
        <v>9.2413431653759996</v>
      </c>
      <c r="R13" s="72">
        <f t="shared" si="3"/>
        <v>9.3565353293375484</v>
      </c>
      <c r="S13" s="5">
        <f t="shared" si="4"/>
        <v>0.15838282096090175</v>
      </c>
      <c r="T13" s="4">
        <f t="shared" si="5"/>
        <v>8.9999094878299246</v>
      </c>
      <c r="U13" s="66">
        <f>T13-2</f>
        <v>6.9999094878299246</v>
      </c>
      <c r="V13" s="171">
        <v>16173.6737186429</v>
      </c>
      <c r="W13" s="172">
        <v>35.424884257123402</v>
      </c>
      <c r="X13" s="171">
        <v>15870.615786931499</v>
      </c>
      <c r="Y13" s="171">
        <v>3116.4933857051301</v>
      </c>
      <c r="Z13" s="162">
        <v>0.86017450585688804</v>
      </c>
      <c r="AA13" s="162">
        <v>0.16891141427937301</v>
      </c>
      <c r="AB13" s="163">
        <v>0.87660000000000005</v>
      </c>
      <c r="AC13" s="164">
        <v>1.92E-3</v>
      </c>
    </row>
    <row r="14" spans="1:29" x14ac:dyDescent="0.3">
      <c r="A14" s="21"/>
      <c r="B14" s="63">
        <v>2281550.0710427063</v>
      </c>
      <c r="C14" s="2">
        <v>9</v>
      </c>
      <c r="D14" s="8">
        <v>0.99990000000000001</v>
      </c>
      <c r="E14" s="8">
        <v>2.33E-3</v>
      </c>
      <c r="F14" s="9"/>
      <c r="G14" s="30">
        <f t="shared" si="0"/>
        <v>429.14163090128756</v>
      </c>
      <c r="I14" s="18">
        <v>9</v>
      </c>
      <c r="J14" s="1">
        <v>7.8973000000000004</v>
      </c>
      <c r="K14" s="113">
        <v>0.19897599999999999</v>
      </c>
      <c r="L14" s="113">
        <v>4.9760000000000004E-3</v>
      </c>
      <c r="M14" s="113">
        <v>0.32818000000000003</v>
      </c>
      <c r="N14" s="113">
        <v>6.5319999999999996E-3</v>
      </c>
      <c r="O14" s="94">
        <v>0.75760000000000005</v>
      </c>
      <c r="P14" s="62">
        <f t="shared" si="1"/>
        <v>1.3436399999999999</v>
      </c>
      <c r="Q14" s="62">
        <f t="shared" si="2"/>
        <v>10.015595306136001</v>
      </c>
      <c r="R14" s="72">
        <f t="shared" si="3"/>
        <v>10.105321260894851</v>
      </c>
      <c r="S14" s="5">
        <f t="shared" si="4"/>
        <v>0.13415478151127233</v>
      </c>
      <c r="T14" s="4">
        <f t="shared" si="5"/>
        <v>7.6408817913253753</v>
      </c>
      <c r="U14" s="66">
        <f>T14-1</f>
        <v>6.6408817913253753</v>
      </c>
      <c r="V14" s="171">
        <v>20158.6951481668</v>
      </c>
      <c r="W14" s="172">
        <v>46.974457140942803</v>
      </c>
      <c r="X14" s="171">
        <v>19825.354208361001</v>
      </c>
      <c r="Y14" s="171">
        <v>3651.09944939448</v>
      </c>
      <c r="Z14" s="162">
        <v>0.98336581446557103</v>
      </c>
      <c r="AA14" s="162">
        <v>0.18109973451240599</v>
      </c>
      <c r="AB14" s="163">
        <v>0.99990000000000001</v>
      </c>
      <c r="AC14" s="164">
        <v>2.33E-3</v>
      </c>
    </row>
    <row r="15" spans="1:29" ht="14.5" thickBot="1" x14ac:dyDescent="0.35">
      <c r="A15" s="24"/>
      <c r="B15" s="64">
        <v>2138953.1916025369</v>
      </c>
      <c r="C15" s="26">
        <v>10</v>
      </c>
      <c r="D15" s="37">
        <v>1.0767</v>
      </c>
      <c r="E15" s="37">
        <v>3.0000000000000001E-3</v>
      </c>
      <c r="F15" s="25"/>
      <c r="G15" s="31">
        <f t="shared" si="0"/>
        <v>358.9</v>
      </c>
      <c r="I15" s="19">
        <v>10</v>
      </c>
      <c r="J15" s="20">
        <v>8.5</v>
      </c>
      <c r="K15" s="114">
        <v>0.16372999999999999</v>
      </c>
      <c r="L15" s="114">
        <v>4.6670000000000001E-3</v>
      </c>
      <c r="M15" s="114">
        <v>0.35326999999999997</v>
      </c>
      <c r="N15" s="114">
        <v>7.7229999999999998E-3</v>
      </c>
      <c r="O15" s="95">
        <v>0.6</v>
      </c>
      <c r="P15" s="98">
        <f t="shared" si="1"/>
        <v>1.2934600000000001</v>
      </c>
      <c r="Q15" s="98">
        <f t="shared" si="2"/>
        <v>10.792713329999998</v>
      </c>
      <c r="R15" s="73">
        <f t="shared" si="3"/>
        <v>10.869944792645438</v>
      </c>
      <c r="S15" s="36">
        <f t="shared" si="4"/>
        <v>0.11984567369214098</v>
      </c>
      <c r="T15" s="27">
        <f t="shared" si="5"/>
        <v>6.8340565282960766</v>
      </c>
      <c r="U15" s="67">
        <f>T15</f>
        <v>6.8340565282960766</v>
      </c>
      <c r="V15" s="173">
        <v>23208.439800306998</v>
      </c>
      <c r="W15" s="174">
        <v>64.665477292580206</v>
      </c>
      <c r="X15" s="173">
        <v>23047.278524258301</v>
      </c>
      <c r="Y15" s="173">
        <v>2731.0826083601701</v>
      </c>
      <c r="Z15" s="167">
        <v>1.0692233084423299</v>
      </c>
      <c r="AA15" s="167">
        <v>0.12670203898766499</v>
      </c>
      <c r="AB15" s="168">
        <v>1.0767</v>
      </c>
      <c r="AC15" s="169">
        <v>3.0000000000000001E-3</v>
      </c>
    </row>
    <row r="16" spans="1:29" ht="14.5" thickBot="1" x14ac:dyDescent="0.35">
      <c r="K16"/>
      <c r="L16" s="10"/>
      <c r="M16" s="43"/>
      <c r="N16" s="43"/>
      <c r="S16" s="5"/>
    </row>
    <row r="17" spans="1:29" ht="14.5" thickBot="1" x14ac:dyDescent="0.35">
      <c r="A17" s="8"/>
      <c r="B17" s="8"/>
      <c r="C17" s="8"/>
      <c r="D17" s="8"/>
      <c r="E17" s="8"/>
      <c r="F17" s="8"/>
      <c r="G17" s="8"/>
      <c r="H17" s="42"/>
      <c r="I17" s="8"/>
      <c r="J17" s="8"/>
      <c r="K17" s="8"/>
      <c r="L17" s="9"/>
    </row>
    <row r="18" spans="1:29" ht="14.5" thickBot="1" x14ac:dyDescent="0.35">
      <c r="A18" s="137" t="s">
        <v>99</v>
      </c>
      <c r="B18" s="137"/>
      <c r="C18" s="137"/>
      <c r="D18" s="8"/>
      <c r="E18" s="8"/>
      <c r="F18" s="8"/>
      <c r="G18" s="8"/>
      <c r="H18" s="42"/>
      <c r="I18" s="8"/>
      <c r="J18" s="8"/>
      <c r="K18" s="8"/>
      <c r="N18" s="140" t="s">
        <v>98</v>
      </c>
      <c r="O18" s="141"/>
      <c r="P18" s="141"/>
      <c r="Q18" s="141"/>
      <c r="R18" s="54"/>
      <c r="S18" s="54"/>
      <c r="T18" s="55"/>
      <c r="V18" s="140" t="s">
        <v>97</v>
      </c>
      <c r="W18" s="141"/>
      <c r="X18" s="141"/>
      <c r="Y18" s="141"/>
      <c r="Z18" s="141"/>
      <c r="AA18" s="141"/>
      <c r="AB18" s="141"/>
      <c r="AC18" s="142"/>
    </row>
    <row r="19" spans="1:29" x14ac:dyDescent="0.3">
      <c r="A19" s="138" t="s">
        <v>36</v>
      </c>
      <c r="B19" s="139"/>
      <c r="N19" s="21" t="s">
        <v>5</v>
      </c>
      <c r="O19" s="89" t="s">
        <v>28</v>
      </c>
      <c r="P19" s="77" t="s">
        <v>21</v>
      </c>
      <c r="Q19" s="110" t="s">
        <v>31</v>
      </c>
      <c r="R19" s="110" t="s">
        <v>32</v>
      </c>
      <c r="S19" s="11" t="s">
        <v>9</v>
      </c>
      <c r="T19" s="46" t="s">
        <v>44</v>
      </c>
      <c r="V19" s="74" t="s">
        <v>18</v>
      </c>
      <c r="W19" s="11" t="s">
        <v>19</v>
      </c>
      <c r="X19" s="11" t="s">
        <v>20</v>
      </c>
      <c r="Y19" s="68" t="s">
        <v>21</v>
      </c>
      <c r="Z19" s="46" t="s">
        <v>30</v>
      </c>
      <c r="AA19" s="21" t="s">
        <v>45</v>
      </c>
      <c r="AB19" s="11" t="s">
        <v>46</v>
      </c>
      <c r="AC19" s="59" t="s">
        <v>47</v>
      </c>
    </row>
    <row r="20" spans="1:29" x14ac:dyDescent="0.3">
      <c r="B20" s="2">
        <v>0</v>
      </c>
      <c r="D20" s="2">
        <v>1</v>
      </c>
      <c r="F20" s="2">
        <v>2</v>
      </c>
      <c r="H20" s="2">
        <v>3</v>
      </c>
      <c r="J20" s="2">
        <v>4</v>
      </c>
      <c r="L20" s="2">
        <v>5</v>
      </c>
      <c r="N20" s="21">
        <v>9</v>
      </c>
      <c r="O20" s="86">
        <f t="shared" ref="O20:O30" si="6">$P$34*V20*R34/$S$34</f>
        <v>6599352.0740520488</v>
      </c>
      <c r="P20" s="78">
        <v>22.694405692366992</v>
      </c>
      <c r="Q20" s="105">
        <v>1.5771999999999999</v>
      </c>
      <c r="R20" s="105">
        <v>0.10613</v>
      </c>
      <c r="S20" s="48">
        <f>Q20/R20</f>
        <v>14.861019504381417</v>
      </c>
      <c r="T20" s="30"/>
      <c r="V20" s="75">
        <v>3.7023823241916078</v>
      </c>
      <c r="W20" s="9">
        <v>0.64185071779471559</v>
      </c>
      <c r="X20" s="4">
        <v>32.694405692366992</v>
      </c>
      <c r="Y20" s="69">
        <v>22.694405692366992</v>
      </c>
      <c r="Z20" s="22">
        <v>10</v>
      </c>
      <c r="AA20" s="40">
        <v>0.16</v>
      </c>
      <c r="AB20" s="5">
        <f t="shared" ref="AB20:AB30" si="7">AA20*$Q$44</f>
        <v>2.4727272727272727</v>
      </c>
      <c r="AC20" s="60">
        <v>1.5454545454545454</v>
      </c>
    </row>
    <row r="21" spans="1:29" x14ac:dyDescent="0.3">
      <c r="N21" s="21"/>
      <c r="O21" s="87">
        <f t="shared" si="6"/>
        <v>7442064.4063748857</v>
      </c>
      <c r="P21" s="79">
        <v>17.74637697162327</v>
      </c>
      <c r="Q21" s="106">
        <v>1.7756000000000001</v>
      </c>
      <c r="R21" s="106">
        <v>2.1739999999999999E-2</v>
      </c>
      <c r="S21" s="48">
        <f t="shared" ref="S21:S30" si="8">Q21/R21</f>
        <v>81.674333026678937</v>
      </c>
      <c r="T21" s="30"/>
      <c r="V21" s="75">
        <v>4.349127668847661</v>
      </c>
      <c r="W21" s="13">
        <v>0.5039621980425909</v>
      </c>
      <c r="X21" s="4">
        <v>26.74637697162327</v>
      </c>
      <c r="Y21" s="69">
        <v>17.74637697162327</v>
      </c>
      <c r="Z21" s="22">
        <v>9</v>
      </c>
      <c r="AA21" s="40">
        <v>0.19900000000000001</v>
      </c>
      <c r="AB21" s="5">
        <f t="shared" si="7"/>
        <v>3.0754545454545452</v>
      </c>
      <c r="AC21" s="60">
        <v>1.4836363636363636</v>
      </c>
    </row>
    <row r="22" spans="1:29" x14ac:dyDescent="0.3">
      <c r="N22" s="21"/>
      <c r="O22" s="87">
        <f t="shared" si="6"/>
        <v>8236011.4786038995</v>
      </c>
      <c r="P22" s="79">
        <v>14.178834751192309</v>
      </c>
      <c r="Q22" s="107">
        <v>1.5363</v>
      </c>
      <c r="R22" s="106">
        <v>1.384E-2</v>
      </c>
      <c r="S22" s="48">
        <f t="shared" si="8"/>
        <v>111.00433526011561</v>
      </c>
      <c r="T22" s="30"/>
      <c r="V22" s="75">
        <v>5.0223743604672695</v>
      </c>
      <c r="W22" s="13">
        <v>0.4076615822369789</v>
      </c>
      <c r="X22" s="4">
        <v>22.178834751192309</v>
      </c>
      <c r="Y22" s="69">
        <v>14.178834751192309</v>
      </c>
      <c r="Z22" s="22">
        <v>8</v>
      </c>
      <c r="AA22" s="40">
        <v>0.23799999999999999</v>
      </c>
      <c r="AB22" s="5">
        <f t="shared" si="7"/>
        <v>3.6781818181818178</v>
      </c>
      <c r="AC22" s="60">
        <v>1.4218181818181816</v>
      </c>
    </row>
    <row r="23" spans="1:29" x14ac:dyDescent="0.3">
      <c r="N23" s="21"/>
      <c r="O23" s="86">
        <f t="shared" si="6"/>
        <v>8960561.4211137798</v>
      </c>
      <c r="P23" s="78">
        <v>11.516931906257984</v>
      </c>
      <c r="Q23" s="108">
        <v>1.2841</v>
      </c>
      <c r="R23" s="105">
        <v>1.0460000000000001E-2</v>
      </c>
      <c r="S23" s="48">
        <f t="shared" si="8"/>
        <v>122.76290630975143</v>
      </c>
      <c r="T23" s="30"/>
      <c r="V23" s="75">
        <v>5.7125828841879684</v>
      </c>
      <c r="W23" s="13">
        <v>0.33492395389530499</v>
      </c>
      <c r="X23" s="4">
        <v>18.516931906257984</v>
      </c>
      <c r="Y23" s="69">
        <v>11.516931906257984</v>
      </c>
      <c r="Z23" s="22">
        <v>7</v>
      </c>
      <c r="AA23" s="40">
        <v>0.27700000000000002</v>
      </c>
      <c r="AB23" s="5">
        <f t="shared" si="7"/>
        <v>4.2809090909090912</v>
      </c>
      <c r="AC23" s="60">
        <v>1.3599999999999999</v>
      </c>
    </row>
    <row r="24" spans="1:29" x14ac:dyDescent="0.3">
      <c r="N24" s="21"/>
      <c r="O24" s="86">
        <f t="shared" si="6"/>
        <v>9604891.6055384465</v>
      </c>
      <c r="P24" s="78">
        <v>9.485501345824904</v>
      </c>
      <c r="Q24" s="105">
        <v>1.0542</v>
      </c>
      <c r="R24" s="105">
        <v>8.4700000000000001E-3</v>
      </c>
      <c r="S24" s="48">
        <f t="shared" si="8"/>
        <v>124.46280991735537</v>
      </c>
      <c r="T24" s="30"/>
      <c r="V24" s="75">
        <v>6.4149481045527654</v>
      </c>
      <c r="W24" s="13">
        <v>0.27705205218381246</v>
      </c>
      <c r="X24" s="4">
        <v>15.485501345824904</v>
      </c>
      <c r="Y24" s="69">
        <v>9.485501345824904</v>
      </c>
      <c r="Z24" s="22">
        <v>6</v>
      </c>
      <c r="AA24" s="40">
        <v>0.316</v>
      </c>
      <c r="AB24" s="5">
        <f t="shared" si="7"/>
        <v>4.8836363636363629</v>
      </c>
      <c r="AC24" s="60">
        <v>1.2981818181818181</v>
      </c>
    </row>
    <row r="25" spans="1:29" x14ac:dyDescent="0.3">
      <c r="N25" s="21"/>
      <c r="O25" s="86">
        <f t="shared" si="6"/>
        <v>10164692.891206458</v>
      </c>
      <c r="P25" s="78">
        <v>7.9674817950977168</v>
      </c>
      <c r="Q25" s="105">
        <v>0.89439999999999997</v>
      </c>
      <c r="R25" s="105">
        <v>7.3699999999999998E-3</v>
      </c>
      <c r="S25" s="48">
        <f t="shared" si="8"/>
        <v>121.35685210312076</v>
      </c>
      <c r="T25" s="30"/>
      <c r="V25" s="75">
        <v>7.1282716221510052</v>
      </c>
      <c r="W25" s="13">
        <v>0.23027046916769675</v>
      </c>
      <c r="X25" s="4">
        <v>12.967481795097717</v>
      </c>
      <c r="Y25" s="69">
        <v>7.9674817950977168</v>
      </c>
      <c r="Z25" s="22">
        <v>5</v>
      </c>
      <c r="AA25" s="40">
        <v>0.35499999999999998</v>
      </c>
      <c r="AB25" s="5">
        <f t="shared" si="7"/>
        <v>5.4863636363636354</v>
      </c>
      <c r="AC25" s="60">
        <v>1.2363636363636363</v>
      </c>
    </row>
    <row r="26" spans="1:29" x14ac:dyDescent="0.3">
      <c r="N26" s="21"/>
      <c r="O26" s="87">
        <f t="shared" si="6"/>
        <v>10644276.932334039</v>
      </c>
      <c r="P26" s="79">
        <v>7.109742797862495</v>
      </c>
      <c r="Q26" s="106">
        <v>0.80230000000000001</v>
      </c>
      <c r="R26" s="106">
        <v>6.9100000000000003E-3</v>
      </c>
      <c r="S26" s="48">
        <f t="shared" si="8"/>
        <v>116.10709117221418</v>
      </c>
      <c r="T26" s="30"/>
      <c r="V26" s="75">
        <v>7.8574665013879379</v>
      </c>
      <c r="W26" s="13">
        <v>0.1963687949506302</v>
      </c>
      <c r="X26" s="4">
        <v>11.109742797862495</v>
      </c>
      <c r="Y26" s="69">
        <v>7.109742797862495</v>
      </c>
      <c r="Z26" s="22">
        <v>4</v>
      </c>
      <c r="AA26" s="40">
        <v>0.39400000000000002</v>
      </c>
      <c r="AB26" s="5">
        <f t="shared" si="7"/>
        <v>6.0890909090909089</v>
      </c>
      <c r="AC26" s="60">
        <v>1.1745454545454543</v>
      </c>
    </row>
    <row r="27" spans="1:29" x14ac:dyDescent="0.3">
      <c r="N27" s="21"/>
      <c r="O27" s="87">
        <f t="shared" si="6"/>
        <v>11042120.163547052</v>
      </c>
      <c r="P27" s="79">
        <v>6.9532693983324574</v>
      </c>
      <c r="Q27" s="107">
        <v>0.78410000000000002</v>
      </c>
      <c r="R27" s="106">
        <v>6.7999999999999996E-3</v>
      </c>
      <c r="S27" s="48">
        <f t="shared" si="8"/>
        <v>115.30882352941177</v>
      </c>
      <c r="T27" s="30"/>
      <c r="V27" s="75">
        <v>8.6039908110955619</v>
      </c>
      <c r="W27" s="13">
        <v>0.17548614051003611</v>
      </c>
      <c r="X27" s="4">
        <v>9.9532693983324574</v>
      </c>
      <c r="Y27" s="69">
        <v>6.9532693983324574</v>
      </c>
      <c r="Z27" s="22">
        <v>3</v>
      </c>
      <c r="AA27" s="40">
        <v>0.433</v>
      </c>
      <c r="AB27" s="5">
        <f t="shared" si="7"/>
        <v>6.6918181818181814</v>
      </c>
      <c r="AC27" s="60">
        <v>1.1127272727272726</v>
      </c>
    </row>
    <row r="28" spans="1:29" x14ac:dyDescent="0.3">
      <c r="N28" s="23"/>
      <c r="O28" s="87">
        <f t="shared" si="6"/>
        <v>11340808.292849453</v>
      </c>
      <c r="P28" s="79">
        <v>6.9999094878299246</v>
      </c>
      <c r="Q28" s="107">
        <v>0.79</v>
      </c>
      <c r="R28" s="106">
        <v>6.7999999999999996E-3</v>
      </c>
      <c r="S28" s="48">
        <f t="shared" si="8"/>
        <v>116.1764705882353</v>
      </c>
      <c r="T28" s="30"/>
      <c r="V28" s="75">
        <v>9.3565353293375484</v>
      </c>
      <c r="W28" s="13">
        <v>0.15838282096090175</v>
      </c>
      <c r="X28" s="4">
        <v>8.9999094878299246</v>
      </c>
      <c r="Y28" s="69">
        <v>6.9999094878299246</v>
      </c>
      <c r="Z28" s="22">
        <v>2</v>
      </c>
      <c r="AA28" s="40">
        <v>0.47199999999999998</v>
      </c>
      <c r="AB28" s="5">
        <f t="shared" si="7"/>
        <v>7.2945454545454531</v>
      </c>
      <c r="AC28" s="60">
        <v>1.0509090909090908</v>
      </c>
    </row>
    <row r="29" spans="1:29" x14ac:dyDescent="0.3">
      <c r="N29" s="21"/>
      <c r="O29" s="87">
        <f t="shared" si="6"/>
        <v>11527898.220352009</v>
      </c>
      <c r="P29" s="78">
        <v>6.6408817913253753</v>
      </c>
      <c r="Q29" s="107">
        <v>0.75029999999999997</v>
      </c>
      <c r="R29" s="106">
        <v>6.6499999999999997E-3</v>
      </c>
      <c r="S29" s="48">
        <f t="shared" si="8"/>
        <v>112.82706766917293</v>
      </c>
      <c r="T29" s="30"/>
      <c r="V29" s="75">
        <v>10.105321260894851</v>
      </c>
      <c r="W29" s="13">
        <v>0.13415478151127233</v>
      </c>
      <c r="X29" s="4">
        <v>7.6408817913253753</v>
      </c>
      <c r="Y29" s="69">
        <v>6.6408817913253753</v>
      </c>
      <c r="Z29" s="22">
        <v>1</v>
      </c>
      <c r="AA29" s="40">
        <v>0.51100000000000001</v>
      </c>
      <c r="AB29" s="5">
        <f t="shared" si="7"/>
        <v>7.8972727272727266</v>
      </c>
      <c r="AC29" s="60">
        <v>0.98909090909090902</v>
      </c>
    </row>
    <row r="30" spans="1:29" ht="14.5" thickBot="1" x14ac:dyDescent="0.35">
      <c r="B30" s="2">
        <v>6</v>
      </c>
      <c r="D30" s="2">
        <v>7</v>
      </c>
      <c r="F30" s="2">
        <v>8</v>
      </c>
      <c r="H30" s="2">
        <v>9</v>
      </c>
      <c r="J30" s="2">
        <v>10</v>
      </c>
      <c r="N30" s="24"/>
      <c r="O30" s="88">
        <f t="shared" si="6"/>
        <v>11625151.553386167</v>
      </c>
      <c r="P30" s="80">
        <v>6.8340565282960766</v>
      </c>
      <c r="Q30" s="109">
        <v>0.77149999999999996</v>
      </c>
      <c r="R30" s="109">
        <v>6.7200000000000003E-3</v>
      </c>
      <c r="S30" s="101">
        <f t="shared" si="8"/>
        <v>114.80654761904761</v>
      </c>
      <c r="T30" s="31"/>
      <c r="V30" s="76">
        <v>10.869944792645438</v>
      </c>
      <c r="W30" s="28">
        <v>0.11984567369214098</v>
      </c>
      <c r="X30" s="27">
        <v>6.8340565282960766</v>
      </c>
      <c r="Y30" s="70">
        <v>6.8340565282960766</v>
      </c>
      <c r="Z30" s="29">
        <v>0</v>
      </c>
      <c r="AA30" s="41">
        <v>0.55000000000000004</v>
      </c>
      <c r="AB30" s="36">
        <f t="shared" si="7"/>
        <v>8.5</v>
      </c>
      <c r="AC30" s="61">
        <v>0.92727272727272714</v>
      </c>
    </row>
    <row r="31" spans="1:29" ht="14.5" thickBot="1" x14ac:dyDescent="0.35"/>
    <row r="32" spans="1:29" x14ac:dyDescent="0.3">
      <c r="N32" s="140" t="s">
        <v>27</v>
      </c>
      <c r="O32" s="141"/>
      <c r="P32" s="141"/>
      <c r="Q32" s="141"/>
      <c r="R32" s="141"/>
      <c r="S32" s="142"/>
    </row>
    <row r="33" spans="1:28" x14ac:dyDescent="0.3">
      <c r="N33" s="134" t="s">
        <v>51</v>
      </c>
      <c r="O33" s="135"/>
      <c r="P33" s="47" t="s">
        <v>1</v>
      </c>
      <c r="Q33" s="47" t="s">
        <v>40</v>
      </c>
      <c r="R33" s="47" t="s">
        <v>3</v>
      </c>
      <c r="S33" s="56" t="s">
        <v>2</v>
      </c>
      <c r="T33" s="144" t="s">
        <v>92</v>
      </c>
      <c r="W33"/>
      <c r="AA33" s="213"/>
      <c r="AB33" s="213"/>
    </row>
    <row r="34" spans="1:28" x14ac:dyDescent="0.3">
      <c r="N34" s="21"/>
      <c r="O34" s="63">
        <f t="shared" ref="O34:O44" si="9">$P$34*$Q$34*R34/$S$34</f>
        <v>3564921.9860042287</v>
      </c>
      <c r="P34" s="2">
        <v>1025</v>
      </c>
      <c r="Q34" s="2">
        <v>2</v>
      </c>
      <c r="R34" s="57">
        <v>1.5454545454545454</v>
      </c>
      <c r="S34" s="35">
        <v>8.8871000000000002E-4</v>
      </c>
      <c r="W34"/>
      <c r="AA34" s="214"/>
      <c r="AB34" s="215"/>
    </row>
    <row r="35" spans="1:28" x14ac:dyDescent="0.3">
      <c r="N35" s="21"/>
      <c r="O35" s="63">
        <f t="shared" si="9"/>
        <v>3422325.1065640594</v>
      </c>
      <c r="Q35" s="11" t="s">
        <v>39</v>
      </c>
      <c r="R35" s="57">
        <v>1.4836363636363636</v>
      </c>
      <c r="S35" s="22"/>
      <c r="W35"/>
      <c r="AA35" s="180"/>
      <c r="AB35" s="216"/>
    </row>
    <row r="36" spans="1:28" x14ac:dyDescent="0.3">
      <c r="N36" s="21"/>
      <c r="O36" s="63">
        <f t="shared" si="9"/>
        <v>3279728.2271238901</v>
      </c>
      <c r="Q36" s="2">
        <v>1.26</v>
      </c>
      <c r="R36" s="57">
        <v>1.4218181818181816</v>
      </c>
      <c r="S36" s="22"/>
      <c r="W36"/>
      <c r="AA36" s="180"/>
      <c r="AB36" s="216"/>
    </row>
    <row r="37" spans="1:28" x14ac:dyDescent="0.3">
      <c r="N37" s="21"/>
      <c r="O37" s="63">
        <f t="shared" si="9"/>
        <v>3137131.3476837208</v>
      </c>
      <c r="Q37" s="11" t="s">
        <v>52</v>
      </c>
      <c r="R37" s="57">
        <v>1.3599999999999999</v>
      </c>
      <c r="S37" s="22"/>
      <c r="AA37" s="180"/>
      <c r="AB37" s="216"/>
    </row>
    <row r="38" spans="1:28" x14ac:dyDescent="0.3">
      <c r="N38" s="21"/>
      <c r="O38" s="63">
        <f t="shared" si="9"/>
        <v>2994534.4682435519</v>
      </c>
      <c r="Q38" s="2">
        <v>8.5</v>
      </c>
      <c r="R38" s="57">
        <v>1.2981818181818181</v>
      </c>
      <c r="S38" s="22"/>
      <c r="W38" s="7"/>
      <c r="AA38" s="180"/>
      <c r="AB38" s="216"/>
    </row>
    <row r="39" spans="1:28" x14ac:dyDescent="0.3">
      <c r="N39" s="21"/>
      <c r="O39" s="63">
        <f t="shared" si="9"/>
        <v>2851937.5888033831</v>
      </c>
      <c r="Q39" s="11" t="s">
        <v>41</v>
      </c>
      <c r="R39" s="57">
        <v>1.2363636363636363</v>
      </c>
      <c r="S39" s="22"/>
      <c r="AA39" s="180"/>
      <c r="AB39" s="216"/>
    </row>
    <row r="40" spans="1:28" x14ac:dyDescent="0.3">
      <c r="N40" s="21"/>
      <c r="O40" s="63">
        <f t="shared" si="9"/>
        <v>2709340.7093632133</v>
      </c>
      <c r="Q40" s="5">
        <f>J15-J14</f>
        <v>0.60269999999999957</v>
      </c>
      <c r="R40" s="57">
        <v>1.1745454545454543</v>
      </c>
      <c r="S40" s="22"/>
      <c r="AA40" s="180"/>
      <c r="AB40" s="216"/>
    </row>
    <row r="41" spans="1:28" x14ac:dyDescent="0.3">
      <c r="A41" s="136" t="s">
        <v>49</v>
      </c>
      <c r="B41" s="137"/>
      <c r="C41" s="137"/>
      <c r="N41" s="21"/>
      <c r="O41" s="63">
        <f t="shared" si="9"/>
        <v>2566743.829923044</v>
      </c>
      <c r="Q41" s="11" t="s">
        <v>42</v>
      </c>
      <c r="R41" s="57">
        <v>1.1127272727272726</v>
      </c>
      <c r="S41" s="22"/>
      <c r="AA41" s="180"/>
      <c r="AB41" s="216"/>
    </row>
    <row r="42" spans="1:28" x14ac:dyDescent="0.3">
      <c r="B42" s="2" t="s">
        <v>50</v>
      </c>
      <c r="D42" s="2">
        <v>1</v>
      </c>
      <c r="F42" s="2">
        <v>2</v>
      </c>
      <c r="H42" s="2">
        <v>3</v>
      </c>
      <c r="J42" s="2">
        <v>4</v>
      </c>
      <c r="L42" s="2">
        <v>5</v>
      </c>
      <c r="N42" s="21"/>
      <c r="O42" s="63">
        <f t="shared" si="9"/>
        <v>2424146.9504828751</v>
      </c>
      <c r="Q42" s="5">
        <f>R43-R44</f>
        <v>6.1818181818181883E-2</v>
      </c>
      <c r="R42" s="57">
        <v>1.0509090909090908</v>
      </c>
      <c r="S42" s="22"/>
      <c r="W42" s="7"/>
      <c r="AA42" s="180"/>
      <c r="AB42" s="216"/>
    </row>
    <row r="43" spans="1:28" x14ac:dyDescent="0.3">
      <c r="N43" s="21"/>
      <c r="O43" s="63">
        <f t="shared" si="9"/>
        <v>2281550.0710427063</v>
      </c>
      <c r="Q43" s="11" t="s">
        <v>48</v>
      </c>
      <c r="R43" s="57">
        <v>0.98909090909090902</v>
      </c>
      <c r="S43" s="22"/>
      <c r="U43" s="12" t="s">
        <v>29</v>
      </c>
      <c r="AA43" s="180"/>
      <c r="AB43" s="216"/>
    </row>
    <row r="44" spans="1:28" ht="14.5" thickBot="1" x14ac:dyDescent="0.35">
      <c r="N44" s="24"/>
      <c r="O44" s="64">
        <f t="shared" si="9"/>
        <v>2138953.1916025369</v>
      </c>
      <c r="P44" s="26"/>
      <c r="Q44" s="37">
        <f>8.5/0.55</f>
        <v>15.454545454545453</v>
      </c>
      <c r="R44" s="58">
        <v>0.92727272727272714</v>
      </c>
      <c r="S44" s="29"/>
      <c r="AA44" s="180"/>
      <c r="AB44" s="216"/>
    </row>
    <row r="45" spans="1:28" x14ac:dyDescent="0.3">
      <c r="AA45" s="180"/>
      <c r="AB45" s="216"/>
    </row>
    <row r="46" spans="1:28" x14ac:dyDescent="0.3">
      <c r="AA46" s="213"/>
      <c r="AB46" s="213"/>
    </row>
    <row r="47" spans="1:28" x14ac:dyDescent="0.3">
      <c r="P47" s="5"/>
    </row>
    <row r="48" spans="1:28" x14ac:dyDescent="0.3">
      <c r="P48" s="5"/>
      <c r="V48" s="14"/>
      <c r="W48" s="93"/>
    </row>
    <row r="49" spans="4:24" x14ac:dyDescent="0.3">
      <c r="P49" s="38"/>
      <c r="V49" s="1"/>
      <c r="W49" s="113"/>
    </row>
    <row r="50" spans="4:24" x14ac:dyDescent="0.3">
      <c r="P50" s="38"/>
      <c r="V50" s="1"/>
      <c r="W50" s="113"/>
    </row>
    <row r="51" spans="4:24" x14ac:dyDescent="0.3">
      <c r="P51" s="38"/>
      <c r="V51" s="1"/>
      <c r="W51" s="113"/>
    </row>
    <row r="52" spans="4:24" x14ac:dyDescent="0.3">
      <c r="P52" s="38"/>
      <c r="V52" s="1"/>
      <c r="W52" s="113"/>
    </row>
    <row r="53" spans="4:24" x14ac:dyDescent="0.3">
      <c r="D53" s="2">
        <v>6</v>
      </c>
      <c r="F53" s="2">
        <v>7</v>
      </c>
      <c r="H53" s="2">
        <v>8</v>
      </c>
      <c r="J53" s="2">
        <v>9</v>
      </c>
      <c r="L53" s="2">
        <v>10</v>
      </c>
      <c r="P53" s="38"/>
      <c r="V53" s="1"/>
      <c r="W53" s="113"/>
    </row>
    <row r="54" spans="4:24" x14ac:dyDescent="0.3">
      <c r="P54" s="38"/>
      <c r="V54" s="1"/>
      <c r="W54" s="113"/>
    </row>
    <row r="55" spans="4:24" x14ac:dyDescent="0.3">
      <c r="P55" s="38"/>
      <c r="V55" s="180"/>
      <c r="W55" s="216"/>
      <c r="X55" s="213"/>
    </row>
    <row r="56" spans="4:24" x14ac:dyDescent="0.3">
      <c r="P56" s="38"/>
      <c r="V56" s="180"/>
      <c r="W56" s="216"/>
      <c r="X56" s="213"/>
    </row>
    <row r="57" spans="4:24" x14ac:dyDescent="0.3">
      <c r="P57" s="38"/>
      <c r="V57" s="180"/>
      <c r="W57" s="216"/>
      <c r="X57" s="213"/>
    </row>
    <row r="58" spans="4:24" x14ac:dyDescent="0.3">
      <c r="P58" s="38"/>
      <c r="V58" s="180"/>
      <c r="W58" s="216"/>
      <c r="X58" s="213"/>
    </row>
    <row r="59" spans="4:24" x14ac:dyDescent="0.3">
      <c r="P59" s="38"/>
      <c r="V59" s="180"/>
      <c r="W59" s="216"/>
      <c r="X59" s="213"/>
    </row>
    <row r="60" spans="4:24" x14ac:dyDescent="0.3">
      <c r="V60" s="213"/>
      <c r="W60" s="213"/>
      <c r="X60" s="213"/>
    </row>
    <row r="61" spans="4:24" x14ac:dyDescent="0.3">
      <c r="V61" s="213"/>
      <c r="W61" s="213"/>
      <c r="X61" s="213"/>
    </row>
  </sheetData>
  <mergeCells count="10">
    <mergeCell ref="N33:O33"/>
    <mergeCell ref="A41:C41"/>
    <mergeCell ref="A3:B3"/>
    <mergeCell ref="I3:K3"/>
    <mergeCell ref="V18:AC18"/>
    <mergeCell ref="A19:B19"/>
    <mergeCell ref="N32:S32"/>
    <mergeCell ref="V3:X3"/>
    <mergeCell ref="N18:Q18"/>
    <mergeCell ref="A18:C1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F0E69-EC03-4E5B-B552-02A84031B381}">
  <dimension ref="A2:AG59"/>
  <sheetViews>
    <sheetView zoomScale="85" zoomScaleNormal="85" workbookViewId="0">
      <selection activeCell="A18" sqref="A18:C18"/>
    </sheetView>
  </sheetViews>
  <sheetFormatPr defaultRowHeight="14" x14ac:dyDescent="0.3"/>
  <cols>
    <col min="1" max="2" width="8.6640625" style="2"/>
    <col min="3" max="3" width="7.75" style="2" customWidth="1"/>
    <col min="4" max="5" width="8.6640625" style="2"/>
    <col min="6" max="6" width="6.5" style="2" customWidth="1"/>
    <col min="7" max="7" width="7.83203125" style="2" customWidth="1"/>
    <col min="8" max="8" width="8" style="2" customWidth="1"/>
    <col min="9" max="10" width="8.6640625" style="2"/>
    <col min="11" max="11" width="8.1640625" style="2" customWidth="1"/>
    <col min="12" max="12" width="9.1640625" style="2" customWidth="1"/>
    <col min="13" max="13" width="10.25" style="2" customWidth="1"/>
    <col min="14" max="14" width="8.6640625" style="2" customWidth="1"/>
    <col min="15" max="15" width="9.5" style="2" customWidth="1"/>
    <col min="16" max="16" width="11.4140625" style="2" customWidth="1"/>
    <col min="17" max="17" width="8.9140625" style="2" customWidth="1"/>
    <col min="18" max="18" width="8.6640625" style="2"/>
    <col min="19" max="21" width="9.1640625" style="2" bestFit="1" customWidth="1"/>
    <col min="22" max="22" width="9.83203125" style="2" customWidth="1"/>
    <col min="23" max="23" width="7.6640625" style="2" customWidth="1"/>
    <col min="24" max="24" width="9" style="2" customWidth="1"/>
    <col min="25" max="25" width="7.83203125" style="2" customWidth="1"/>
    <col min="26" max="26" width="7.75" style="2" customWidth="1"/>
    <col min="27" max="27" width="8.25" style="2" customWidth="1"/>
    <col min="28" max="28" width="8.6640625" style="2" customWidth="1"/>
    <col min="29" max="29" width="8.33203125" style="2" customWidth="1"/>
    <col min="30" max="16384" width="8.6640625" style="2"/>
  </cols>
  <sheetData>
    <row r="2" spans="1:33" ht="14.5" thickBot="1" x14ac:dyDescent="0.35">
      <c r="A2" s="2" t="s">
        <v>34</v>
      </c>
    </row>
    <row r="3" spans="1:33" x14ac:dyDescent="0.3">
      <c r="A3" s="138" t="s">
        <v>36</v>
      </c>
      <c r="B3" s="139"/>
      <c r="C3" s="32"/>
      <c r="D3" s="32"/>
      <c r="E3" s="32"/>
      <c r="F3" s="32"/>
      <c r="G3" s="33"/>
      <c r="I3" s="138" t="s">
        <v>35</v>
      </c>
      <c r="J3" s="139"/>
      <c r="K3" s="139"/>
      <c r="L3" s="15"/>
      <c r="M3" s="15"/>
      <c r="N3" s="15"/>
      <c r="O3" s="15"/>
      <c r="P3" s="15"/>
      <c r="Q3" s="15"/>
      <c r="R3" s="15"/>
      <c r="S3" s="15"/>
      <c r="T3" s="15"/>
      <c r="U3" s="16"/>
      <c r="V3" s="138" t="s">
        <v>95</v>
      </c>
      <c r="W3" s="139"/>
      <c r="X3" s="139"/>
      <c r="Y3" s="15"/>
      <c r="Z3" s="15"/>
      <c r="AA3" s="15"/>
      <c r="AB3" s="15"/>
      <c r="AC3" s="16"/>
    </row>
    <row r="4" spans="1:33" s="14" customFormat="1" x14ac:dyDescent="0.3">
      <c r="A4" s="17" t="s">
        <v>5</v>
      </c>
      <c r="B4" s="90" t="s">
        <v>0</v>
      </c>
      <c r="C4" s="14" t="s">
        <v>4</v>
      </c>
      <c r="D4" s="14" t="s">
        <v>6</v>
      </c>
      <c r="E4" s="14" t="s">
        <v>7</v>
      </c>
      <c r="F4" s="14" t="s">
        <v>8</v>
      </c>
      <c r="G4" s="34" t="s">
        <v>9</v>
      </c>
      <c r="I4" s="39" t="s">
        <v>33</v>
      </c>
      <c r="J4" s="14" t="s">
        <v>10</v>
      </c>
      <c r="K4" s="14" t="s">
        <v>11</v>
      </c>
      <c r="L4" s="14" t="s">
        <v>12</v>
      </c>
      <c r="M4" s="93" t="s">
        <v>13</v>
      </c>
      <c r="N4" s="93" t="s">
        <v>14</v>
      </c>
      <c r="O4" s="93" t="s">
        <v>15</v>
      </c>
      <c r="P4" s="14" t="s">
        <v>16</v>
      </c>
      <c r="Q4" s="14" t="s">
        <v>17</v>
      </c>
      <c r="R4" s="71" t="s">
        <v>18</v>
      </c>
      <c r="S4" s="14" t="s">
        <v>19</v>
      </c>
      <c r="T4" s="14" t="s">
        <v>20</v>
      </c>
      <c r="U4" s="65" t="s">
        <v>21</v>
      </c>
      <c r="V4" s="155" t="s">
        <v>22</v>
      </c>
      <c r="W4" s="156" t="s">
        <v>23</v>
      </c>
      <c r="X4" s="157" t="s">
        <v>43</v>
      </c>
      <c r="Y4" s="157" t="s">
        <v>24</v>
      </c>
      <c r="Z4" s="157" t="s">
        <v>25</v>
      </c>
      <c r="AA4" s="157" t="s">
        <v>26</v>
      </c>
      <c r="AB4" s="158" t="s">
        <v>6</v>
      </c>
      <c r="AC4" s="159" t="s">
        <v>7</v>
      </c>
    </row>
    <row r="5" spans="1:33" x14ac:dyDescent="0.3">
      <c r="A5" s="21">
        <v>9</v>
      </c>
      <c r="B5" s="63">
        <v>3564921.9860042287</v>
      </c>
      <c r="C5" s="2">
        <v>0</v>
      </c>
      <c r="D5" s="8">
        <v>0</v>
      </c>
      <c r="E5" s="8">
        <v>9.6000000000000002E-4</v>
      </c>
      <c r="F5" s="9"/>
      <c r="G5" s="30">
        <f>D5/E5</f>
        <v>0</v>
      </c>
      <c r="I5" s="18">
        <v>0</v>
      </c>
      <c r="J5" s="1">
        <v>2.4729999999999999</v>
      </c>
      <c r="K5" s="113">
        <v>6.7874661347280197E-5</v>
      </c>
      <c r="L5" s="113">
        <v>-6.4999999999999994E-5</v>
      </c>
      <c r="M5" s="118">
        <v>6.7874661347280197E-5</v>
      </c>
      <c r="N5" s="119">
        <v>-6.4999999999999994E-5</v>
      </c>
      <c r="O5" s="94">
        <v>1</v>
      </c>
      <c r="P5" s="62">
        <f>(1-K5)*$Q$34</f>
        <v>1.9998642506773054</v>
      </c>
      <c r="Q5" s="62">
        <f>(1+L5)*$Q$36*J5</f>
        <v>3.3012404054249997</v>
      </c>
      <c r="R5" s="72">
        <f>SQRT(P5^2+Q5^2)</f>
        <v>3.8597467838638995</v>
      </c>
      <c r="S5" s="5">
        <f>P5/Q5</f>
        <v>0.60579176463213202</v>
      </c>
      <c r="T5" s="4">
        <f>DEGREES(ATAN(S5))</f>
        <v>31.20713588201836</v>
      </c>
      <c r="U5" s="66">
        <f>T5-10</f>
        <v>21.20713588201836</v>
      </c>
      <c r="V5" s="160">
        <f>0.5*$P$34*$Q$34^2*AC20*$Q$40*Q20/1000</f>
        <v>3.4036181215909065</v>
      </c>
      <c r="W5" s="161">
        <f>0.5*$P$34*$Q$34^2*AC20*$Q$40*R20/1000</f>
        <v>0.10616615290909083</v>
      </c>
      <c r="X5" s="161">
        <f>V5*SIN(RADIANS(T5))+W5*COS(RADIANS(T5))</f>
        <v>1.8543325764065175</v>
      </c>
      <c r="Y5" s="161">
        <f>V5*COS(RADIANS(T5))-W5*SIN(RADIANS(T5))</f>
        <v>2.856105436730775</v>
      </c>
      <c r="Z5" s="162">
        <v>4.6488371545442799E-4</v>
      </c>
      <c r="AA5" s="162">
        <v>-8.3993043230096501E-4</v>
      </c>
      <c r="AB5" s="163">
        <v>0</v>
      </c>
      <c r="AC5" s="164">
        <v>9.6000000000000002E-4</v>
      </c>
    </row>
    <row r="6" spans="1:33" x14ac:dyDescent="0.3">
      <c r="A6" s="21"/>
      <c r="B6" s="63">
        <v>3422325.1065640594</v>
      </c>
      <c r="C6" s="2">
        <v>1</v>
      </c>
      <c r="D6" s="8">
        <v>0.1106</v>
      </c>
      <c r="E6" s="8">
        <v>9.7000000000000005E-4</v>
      </c>
      <c r="F6" s="9"/>
      <c r="G6" s="30">
        <f t="shared" ref="G6:G15" si="0">D6/E6</f>
        <v>114.02061855670102</v>
      </c>
      <c r="I6" s="18">
        <v>1</v>
      </c>
      <c r="J6" s="1">
        <v>3.0756999999999999</v>
      </c>
      <c r="K6" s="113">
        <v>2.5108653554850102E-2</v>
      </c>
      <c r="L6" s="113">
        <v>2.1510000000000001E-3</v>
      </c>
      <c r="M6" s="118">
        <v>2.5108653554850102E-2</v>
      </c>
      <c r="N6" s="119">
        <v>2.1510000000000001E-3</v>
      </c>
      <c r="O6" s="94">
        <v>0.99990000000000001</v>
      </c>
      <c r="P6" s="62">
        <f t="shared" ref="P6:P13" si="1">(1-K6)*$Q$34</f>
        <v>1.9497826928902997</v>
      </c>
      <c r="Q6" s="62">
        <f t="shared" ref="Q6:Q13" si="2">(1+L6)*$Q$36*J6</f>
        <v>4.1148916339844996</v>
      </c>
      <c r="R6" s="72">
        <f t="shared" ref="R6:R15" si="3">SQRT(P6^2+Q6^2)</f>
        <v>4.5534586534776151</v>
      </c>
      <c r="S6" s="5">
        <f t="shared" ref="S6:S15" si="4">P6/Q6</f>
        <v>0.47383573282640773</v>
      </c>
      <c r="T6" s="4">
        <f t="shared" ref="T6:T15" si="5">DEGREES(ATAN(S6))</f>
        <v>25.353266144774704</v>
      </c>
      <c r="U6" s="66">
        <f>T6-9</f>
        <v>16.353266144774704</v>
      </c>
      <c r="V6" s="160">
        <f t="shared" ref="V6:V15" si="6">0.5*$P$34*$Q$34^2*AC21*$Q$40*Q21/1000</f>
        <v>3.1384242370472708</v>
      </c>
      <c r="W6" s="161">
        <f t="shared" ref="W6:W15" si="7">0.5*$P$34*$Q$34^2*AC21*$Q$40*R21/1000</f>
        <v>3.2537252618181793E-2</v>
      </c>
      <c r="X6" s="161">
        <f t="shared" ref="X6" si="8">V6*SIN(RADIANS(T6))+W6*COS(RADIANS(T6))</f>
        <v>1.3732709583643417</v>
      </c>
      <c r="Y6" s="161">
        <f t="shared" ref="Y6:Y15" si="9">V6*COS(RADIANS(T6))-W6*SIN(RADIANS(T6))</f>
        <v>2.8222140668997393</v>
      </c>
      <c r="Z6" s="162">
        <v>0.101692476447416</v>
      </c>
      <c r="AA6" s="162">
        <v>4.3496449671112998E-2</v>
      </c>
      <c r="AB6" s="163">
        <v>0.1106</v>
      </c>
      <c r="AC6" s="164">
        <v>9.7000000000000005E-4</v>
      </c>
      <c r="AE6" s="14" t="s">
        <v>10</v>
      </c>
      <c r="AF6" s="14" t="s">
        <v>12</v>
      </c>
      <c r="AG6" s="2" t="s">
        <v>60</v>
      </c>
    </row>
    <row r="7" spans="1:33" x14ac:dyDescent="0.3">
      <c r="A7" s="21"/>
      <c r="B7" s="63">
        <v>3279728.2271238901</v>
      </c>
      <c r="C7" s="2">
        <v>2</v>
      </c>
      <c r="D7" s="8">
        <v>0.22059999999999999</v>
      </c>
      <c r="E7" s="8">
        <v>1E-3</v>
      </c>
      <c r="F7" s="9"/>
      <c r="G7" s="30">
        <f t="shared" si="0"/>
        <v>220.6</v>
      </c>
      <c r="I7" s="18">
        <v>2</v>
      </c>
      <c r="J7" s="1">
        <v>3.6783999999999999</v>
      </c>
      <c r="K7" s="113">
        <v>6.2981239219644006E-2</v>
      </c>
      <c r="L7" s="113">
        <v>3.4220000000000001E-3</v>
      </c>
      <c r="M7" s="119">
        <v>6.2981239219644394E-2</v>
      </c>
      <c r="N7" s="119">
        <v>3.4220000000000001E-3</v>
      </c>
      <c r="O7" s="94">
        <v>0.99990000000000001</v>
      </c>
      <c r="P7" s="62">
        <f t="shared" si="1"/>
        <v>1.8740375215607119</v>
      </c>
      <c r="Q7" s="62">
        <f t="shared" si="2"/>
        <v>4.9274682922080002</v>
      </c>
      <c r="R7" s="72">
        <f t="shared" si="3"/>
        <v>5.2718080772096245</v>
      </c>
      <c r="S7" s="5">
        <f t="shared" si="4"/>
        <v>0.38032462319934179</v>
      </c>
      <c r="T7" s="4">
        <f t="shared" si="5"/>
        <v>20.823041916325209</v>
      </c>
      <c r="U7" s="66">
        <f>T7-8</f>
        <v>12.823041916325209</v>
      </c>
      <c r="V7" s="160">
        <f t="shared" si="6"/>
        <v>2.475374603939998</v>
      </c>
      <c r="W7" s="161">
        <f t="shared" si="7"/>
        <v>2.0975071159636344E-2</v>
      </c>
      <c r="X7" s="161">
        <f t="shared" ref="X7" si="10">V7*SIN(RADIANS(T7))+W7*COS(RADIANS(T7))</f>
        <v>0.89955833298811261</v>
      </c>
      <c r="Y7" s="161">
        <f t="shared" si="9"/>
        <v>2.3062337672042057</v>
      </c>
      <c r="Z7" s="162">
        <v>0.207907993826521</v>
      </c>
      <c r="AA7" s="162">
        <v>7.3753820938519302E-2</v>
      </c>
      <c r="AB7" s="163">
        <v>0.22059999999999999</v>
      </c>
      <c r="AC7" s="164">
        <v>1E-3</v>
      </c>
      <c r="AE7" s="1">
        <v>2.4729999999999999</v>
      </c>
      <c r="AF7" s="113">
        <v>-6.4999999999999994E-5</v>
      </c>
      <c r="AG7" s="4">
        <v>10.64230829834748</v>
      </c>
    </row>
    <row r="8" spans="1:33" x14ac:dyDescent="0.3">
      <c r="A8" s="21"/>
      <c r="B8" s="63">
        <v>3137131.3476837208</v>
      </c>
      <c r="C8" s="2">
        <v>3</v>
      </c>
      <c r="D8" s="8">
        <v>0.32929999999999998</v>
      </c>
      <c r="E8" s="8">
        <v>1.06E-3</v>
      </c>
      <c r="F8" s="9"/>
      <c r="G8" s="30">
        <f t="shared" si="0"/>
        <v>310.66037735849056</v>
      </c>
      <c r="I8" s="18">
        <v>3</v>
      </c>
      <c r="J8" s="1">
        <v>4.2811000000000003</v>
      </c>
      <c r="K8" s="113">
        <v>0.117859968728471</v>
      </c>
      <c r="L8" s="113">
        <v>4.169E-3</v>
      </c>
      <c r="M8" s="118">
        <v>0.117859968728471</v>
      </c>
      <c r="N8" s="119">
        <v>4.169E-3</v>
      </c>
      <c r="O8" s="94">
        <v>0.99990000000000001</v>
      </c>
      <c r="P8" s="62">
        <f t="shared" si="1"/>
        <v>1.7642800625430579</v>
      </c>
      <c r="Q8" s="62">
        <f t="shared" si="2"/>
        <v>5.7390954543765007</v>
      </c>
      <c r="R8" s="72">
        <f t="shared" si="3"/>
        <v>6.0041569577695046</v>
      </c>
      <c r="S8" s="5">
        <f t="shared" si="4"/>
        <v>0.30741430885204374</v>
      </c>
      <c r="T8" s="4">
        <f t="shared" si="5"/>
        <v>17.088177242650339</v>
      </c>
      <c r="U8" s="66">
        <f>T8-7</f>
        <v>10.088177242650339</v>
      </c>
      <c r="V8" s="160">
        <f t="shared" si="6"/>
        <v>1.8885201896399981</v>
      </c>
      <c r="W8" s="161">
        <f t="shared" si="7"/>
        <v>1.5156554951999987E-2</v>
      </c>
      <c r="X8" s="161">
        <f t="shared" ref="X8" si="11">V8*SIN(RADIANS(T8))+W8*COS(RADIANS(T8))</f>
        <v>0.56941606589695049</v>
      </c>
      <c r="Y8" s="161">
        <f t="shared" si="9"/>
        <v>1.8006953023025154</v>
      </c>
      <c r="Z8" s="162">
        <v>0.31529895922195</v>
      </c>
      <c r="AA8" s="162">
        <v>9.5006209868381306E-2</v>
      </c>
      <c r="AB8" s="163">
        <v>0.32929999999999998</v>
      </c>
      <c r="AC8" s="164">
        <v>1.06E-3</v>
      </c>
      <c r="AE8" s="1">
        <v>3.0756999999999999</v>
      </c>
      <c r="AF8" s="113">
        <v>2.1510000000000001E-3</v>
      </c>
      <c r="AG8" s="4">
        <v>14.627762248019222</v>
      </c>
    </row>
    <row r="9" spans="1:33" x14ac:dyDescent="0.3">
      <c r="A9" s="21"/>
      <c r="B9" s="63">
        <v>2994534.4682435519</v>
      </c>
      <c r="C9" s="2">
        <v>4</v>
      </c>
      <c r="D9" s="8">
        <v>0.43619999999999998</v>
      </c>
      <c r="E9" s="8">
        <v>1.15E-3</v>
      </c>
      <c r="F9" s="9"/>
      <c r="G9" s="30">
        <f t="shared" si="0"/>
        <v>379.30434782608694</v>
      </c>
      <c r="I9" s="18">
        <v>4</v>
      </c>
      <c r="J9" s="1">
        <v>4.8837999999999999</v>
      </c>
      <c r="K9" s="113">
        <v>0.20613694559027201</v>
      </c>
      <c r="L9" s="113">
        <v>4.5840000000000004E-3</v>
      </c>
      <c r="M9" s="118">
        <v>0.20613694559027201</v>
      </c>
      <c r="N9" s="119">
        <v>4.5840000000000004E-3</v>
      </c>
      <c r="O9" s="94">
        <v>0.99980000000000002</v>
      </c>
      <c r="P9" s="62">
        <f t="shared" si="1"/>
        <v>1.5877261088194561</v>
      </c>
      <c r="Q9" s="62">
        <f t="shared" si="2"/>
        <v>6.5497600978319994</v>
      </c>
      <c r="R9" s="72">
        <f t="shared" si="3"/>
        <v>6.7394533558575223</v>
      </c>
      <c r="S9" s="5">
        <f t="shared" si="4"/>
        <v>0.24240981121507041</v>
      </c>
      <c r="T9" s="4">
        <f t="shared" si="5"/>
        <v>13.626213906057373</v>
      </c>
      <c r="U9" s="66">
        <f>T9-6</f>
        <v>7.626213906057373</v>
      </c>
      <c r="V9" s="160">
        <f t="shared" si="6"/>
        <v>1.3750655400490899</v>
      </c>
      <c r="W9" s="161">
        <f t="shared" si="7"/>
        <v>1.1548433323636354E-2</v>
      </c>
      <c r="X9" s="161">
        <f t="shared" ref="X9" si="12">V9*SIN(RADIANS(T9))+W9*COS(RADIANS(T9))</f>
        <v>0.33517064482480957</v>
      </c>
      <c r="Y9" s="161">
        <f t="shared" si="9"/>
        <v>1.3336413478107398</v>
      </c>
      <c r="Z9" s="162">
        <v>0.42185913796583302</v>
      </c>
      <c r="AA9" s="162">
        <v>0.110935252353451</v>
      </c>
      <c r="AB9" s="163">
        <v>0.43619999999999998</v>
      </c>
      <c r="AC9" s="164">
        <v>1.15E-3</v>
      </c>
      <c r="AE9" s="1">
        <v>3.6783999999999999</v>
      </c>
      <c r="AF9" s="113">
        <v>3.4220000000000001E-3</v>
      </c>
      <c r="AG9" s="4">
        <v>16.020557941678888</v>
      </c>
    </row>
    <row r="10" spans="1:33" x14ac:dyDescent="0.3">
      <c r="A10" s="21"/>
      <c r="B10" s="63">
        <v>2851937.5888033831</v>
      </c>
      <c r="C10" s="2">
        <v>5</v>
      </c>
      <c r="D10" s="8">
        <v>0.54069999999999996</v>
      </c>
      <c r="E10" s="8">
        <v>1.2700000000000001E-3</v>
      </c>
      <c r="F10" s="9"/>
      <c r="G10" s="30">
        <f t="shared" si="0"/>
        <v>425.74803149606294</v>
      </c>
      <c r="I10" s="18">
        <v>5</v>
      </c>
      <c r="J10" s="1">
        <v>5.4864999999999897</v>
      </c>
      <c r="K10" s="113">
        <v>0.27189329126623701</v>
      </c>
      <c r="L10" s="113">
        <v>4.2180000000000004E-3</v>
      </c>
      <c r="M10" s="119">
        <v>0.27189329126623701</v>
      </c>
      <c r="N10" s="119">
        <v>4.2180000000000004E-3</v>
      </c>
      <c r="O10" s="94"/>
      <c r="P10" s="62">
        <f t="shared" si="1"/>
        <v>1.4562134174675259</v>
      </c>
      <c r="Q10" s="62">
        <f t="shared" si="2"/>
        <v>7.3553721460949859</v>
      </c>
      <c r="R10" s="72">
        <f t="shared" si="3"/>
        <v>7.498136896907285</v>
      </c>
      <c r="S10" s="5">
        <f t="shared" si="4"/>
        <v>0.19797957037981265</v>
      </c>
      <c r="T10" s="4">
        <f t="shared" si="5"/>
        <v>11.198579646710476</v>
      </c>
      <c r="U10" s="66">
        <f>T10-5</f>
        <v>6.1985796467104759</v>
      </c>
      <c r="V10" s="160">
        <f t="shared" si="6"/>
        <v>1.0702159241454539</v>
      </c>
      <c r="W10" s="161">
        <f t="shared" si="7"/>
        <v>9.9444842509090851E-3</v>
      </c>
      <c r="X10" s="161">
        <f t="shared" ref="X10" si="13">V10*SIN(RADIANS(T10))+W10*COS(RADIANS(T10))</f>
        <v>0.21760181138696133</v>
      </c>
      <c r="Y10" s="161">
        <f t="shared" si="9"/>
        <v>1.0479076623169798</v>
      </c>
      <c r="Z10" s="162">
        <v>0.52623792920176904</v>
      </c>
      <c r="AA10" s="162">
        <v>0.12422457393540599</v>
      </c>
      <c r="AB10" s="163">
        <v>0.54069999999999996</v>
      </c>
      <c r="AC10" s="164">
        <v>1.2700000000000001E-3</v>
      </c>
      <c r="AE10" s="1">
        <v>4.2811000000000003</v>
      </c>
      <c r="AF10" s="113">
        <v>4.169E-3</v>
      </c>
      <c r="AG10" s="4">
        <v>16.224360807893802</v>
      </c>
    </row>
    <row r="11" spans="1:33" x14ac:dyDescent="0.3">
      <c r="A11" s="21"/>
      <c r="B11" s="63">
        <v>2709340.7093632133</v>
      </c>
      <c r="C11" s="2">
        <v>6</v>
      </c>
      <c r="D11" s="8">
        <v>0.64219999999999999</v>
      </c>
      <c r="E11" s="8">
        <v>1.41E-3</v>
      </c>
      <c r="F11" s="9"/>
      <c r="G11" s="30">
        <f t="shared" si="0"/>
        <v>455.46099290780143</v>
      </c>
      <c r="I11" s="18">
        <v>6</v>
      </c>
      <c r="J11" s="1">
        <v>6.0891999999999999</v>
      </c>
      <c r="K11" s="113">
        <v>0.31189329126623699</v>
      </c>
      <c r="L11" s="113">
        <v>5.2789999999999998E-3</v>
      </c>
      <c r="M11" s="119">
        <v>0.31189329126623699</v>
      </c>
      <c r="N11" s="119">
        <v>5.2789999999999998E-3</v>
      </c>
      <c r="O11" s="94"/>
      <c r="P11" s="62">
        <f t="shared" si="1"/>
        <v>1.376213417467526</v>
      </c>
      <c r="Q11" s="62">
        <f t="shared" si="2"/>
        <v>8.1719954238780002</v>
      </c>
      <c r="R11" s="72">
        <f t="shared" si="3"/>
        <v>8.2870665846426395</v>
      </c>
      <c r="S11" s="5">
        <f t="shared" si="4"/>
        <v>0.16840604357735278</v>
      </c>
      <c r="T11" s="4">
        <f t="shared" si="5"/>
        <v>9.559260243722365</v>
      </c>
      <c r="U11" s="66">
        <f>T11-4</f>
        <v>5.559260243722365</v>
      </c>
      <c r="V11" s="160">
        <f t="shared" si="6"/>
        <v>0.91352537544545376</v>
      </c>
      <c r="W11" s="161">
        <f t="shared" si="7"/>
        <v>9.0844620338181754E-3</v>
      </c>
      <c r="X11" s="161">
        <f t="shared" ref="X11" si="14">V11*SIN(RADIANS(T11))+W11*COS(RADIANS(T11))</f>
        <v>0.16066530266828591</v>
      </c>
      <c r="Y11" s="161">
        <f t="shared" si="9"/>
        <v>0.89933186285803823</v>
      </c>
      <c r="Z11" s="162">
        <v>0.62746140869843903</v>
      </c>
      <c r="AA11" s="162">
        <v>0.13680280952586299</v>
      </c>
      <c r="AB11" s="163">
        <v>0.64219999999999999</v>
      </c>
      <c r="AC11" s="164">
        <v>1.41E-3</v>
      </c>
      <c r="AE11" s="1">
        <v>4.8837999999999999</v>
      </c>
      <c r="AF11" s="113">
        <v>4.5840000000000004E-3</v>
      </c>
      <c r="AG11" s="4">
        <v>15.138587291785697</v>
      </c>
    </row>
    <row r="12" spans="1:33" x14ac:dyDescent="0.3">
      <c r="A12" s="21"/>
      <c r="B12" s="63">
        <v>2566743.829923044</v>
      </c>
      <c r="C12" s="2">
        <v>7</v>
      </c>
      <c r="D12" s="8">
        <v>0.75229999999999997</v>
      </c>
      <c r="E12" s="8">
        <v>1.6299999999999999E-3</v>
      </c>
      <c r="F12" s="9"/>
      <c r="G12" s="30">
        <f t="shared" si="0"/>
        <v>461.53374233128835</v>
      </c>
      <c r="I12" s="18">
        <v>7</v>
      </c>
      <c r="J12" s="1">
        <v>6.6918999999999897</v>
      </c>
      <c r="K12" s="113">
        <v>0.33189329126623701</v>
      </c>
      <c r="L12" s="113">
        <v>5.2620000000000002E-3</v>
      </c>
      <c r="M12" s="119">
        <v>0.33189329126623701</v>
      </c>
      <c r="N12" s="119">
        <v>5.2620000000000002E-3</v>
      </c>
      <c r="O12" s="94"/>
      <c r="P12" s="62">
        <f t="shared" si="1"/>
        <v>1.336213417467526</v>
      </c>
      <c r="Q12" s="62">
        <f t="shared" si="2"/>
        <v>8.9806955583629868</v>
      </c>
      <c r="R12" s="72">
        <f t="shared" si="3"/>
        <v>9.0795572033563907</v>
      </c>
      <c r="S12" s="5">
        <f t="shared" si="4"/>
        <v>0.14878729701768142</v>
      </c>
      <c r="T12" s="4">
        <f t="shared" si="5"/>
        <v>8.462799748373909</v>
      </c>
      <c r="U12" s="66">
        <f>T12-3</f>
        <v>5.462799748373909</v>
      </c>
      <c r="V12" s="160">
        <f t="shared" si="6"/>
        <v>0.85059710682545364</v>
      </c>
      <c r="W12" s="161">
        <f t="shared" si="7"/>
        <v>8.5513399134545375E-3</v>
      </c>
      <c r="X12" s="161">
        <f t="shared" ref="X12" si="15">V12*SIN(RADIANS(T12))+W12*COS(RADIANS(T12))</f>
        <v>0.13363826232952206</v>
      </c>
      <c r="Y12" s="161">
        <f t="shared" si="9"/>
        <v>0.8400770074199706</v>
      </c>
      <c r="Z12" s="162">
        <v>0.73686098077750595</v>
      </c>
      <c r="AA12" s="162">
        <v>0.15163720489250501</v>
      </c>
      <c r="AB12" s="163">
        <v>0.75229999999999997</v>
      </c>
      <c r="AC12" s="164">
        <v>1.6299999999999999E-3</v>
      </c>
      <c r="AE12" s="1">
        <v>5.4864999999999897</v>
      </c>
      <c r="AF12" s="113">
        <v>4.2180000000000004E-3</v>
      </c>
      <c r="AG12" s="4">
        <v>14.722922253670117</v>
      </c>
    </row>
    <row r="13" spans="1:33" x14ac:dyDescent="0.3">
      <c r="A13" s="23"/>
      <c r="B13" s="63">
        <v>2424146.9504828751</v>
      </c>
      <c r="C13" s="2">
        <v>8</v>
      </c>
      <c r="D13" s="8">
        <v>0.87660000000000005</v>
      </c>
      <c r="E13" s="8">
        <v>1.92E-3</v>
      </c>
      <c r="F13" s="9"/>
      <c r="G13" s="30">
        <f t="shared" si="0"/>
        <v>456.5625</v>
      </c>
      <c r="I13" s="18">
        <v>8</v>
      </c>
      <c r="J13" s="1">
        <v>7.2946</v>
      </c>
      <c r="K13" s="113">
        <v>0.321893291266237</v>
      </c>
      <c r="L13" s="113">
        <v>4.9699999999999996E-3</v>
      </c>
      <c r="M13" s="120">
        <v>0.321893291266237</v>
      </c>
      <c r="N13" s="119">
        <v>4.9699999999999996E-3</v>
      </c>
      <c r="O13" s="94"/>
      <c r="P13" s="62">
        <f t="shared" si="1"/>
        <v>1.356213417467526</v>
      </c>
      <c r="Q13" s="62">
        <f t="shared" si="2"/>
        <v>9.7866903062699979</v>
      </c>
      <c r="R13" s="72">
        <f t="shared" si="3"/>
        <v>9.8802136608758655</v>
      </c>
      <c r="S13" s="5">
        <f t="shared" si="4"/>
        <v>0.13857733054029986</v>
      </c>
      <c r="T13" s="4">
        <f t="shared" si="5"/>
        <v>7.8896488123198987</v>
      </c>
      <c r="U13" s="66">
        <f>T13-2</f>
        <v>5.8896488123198987</v>
      </c>
      <c r="V13" s="160">
        <f t="shared" si="6"/>
        <v>0.86631580773818107</v>
      </c>
      <c r="W13" s="161">
        <f t="shared" si="7"/>
        <v>8.2450620190909017E-3</v>
      </c>
      <c r="X13" s="161">
        <f t="shared" ref="X13" si="16">V13*SIN(RADIANS(T13))+W13*COS(RADIANS(T13))</f>
        <v>0.12708237228993927</v>
      </c>
      <c r="Y13" s="161">
        <f t="shared" si="9"/>
        <v>0.85698373989120524</v>
      </c>
      <c r="Z13" s="162">
        <v>0.86017450585688804</v>
      </c>
      <c r="AA13" s="162">
        <v>0.16891141427937301</v>
      </c>
      <c r="AB13" s="163">
        <v>0.87660000000000005</v>
      </c>
      <c r="AC13" s="164">
        <v>1.92E-3</v>
      </c>
      <c r="AE13" s="1">
        <v>6.0891999999999999</v>
      </c>
      <c r="AF13" s="113">
        <v>5.2789999999999998E-3</v>
      </c>
      <c r="AG13" s="4">
        <v>15.433161976925556</v>
      </c>
    </row>
    <row r="14" spans="1:33" x14ac:dyDescent="0.3">
      <c r="A14" s="21"/>
      <c r="B14" s="63">
        <v>2281550.0710427063</v>
      </c>
      <c r="C14" s="2">
        <v>9</v>
      </c>
      <c r="D14" s="8">
        <v>0.99990000000000001</v>
      </c>
      <c r="E14" s="8">
        <v>2.33E-3</v>
      </c>
      <c r="F14" s="9"/>
      <c r="G14" s="30">
        <f t="shared" si="0"/>
        <v>429.14163090128756</v>
      </c>
      <c r="I14" s="18">
        <v>9</v>
      </c>
      <c r="J14" s="1">
        <v>7.8973000000000004</v>
      </c>
      <c r="K14" s="113">
        <v>0.24266711109252601</v>
      </c>
      <c r="L14" s="113">
        <v>4.9529999999999999E-3</v>
      </c>
      <c r="M14" s="115">
        <v>0.43176999999999999</v>
      </c>
      <c r="N14" s="115">
        <v>5.9699999999999996E-3</v>
      </c>
      <c r="O14" s="116">
        <v>0.82130000000000003</v>
      </c>
      <c r="P14" s="62">
        <f>(1-K14)*$Q$34</f>
        <v>1.5146657778149479</v>
      </c>
      <c r="Q14" s="62">
        <f>(1+L14)*$Q$36*J14</f>
        <v>10.595114461411502</v>
      </c>
      <c r="R14" s="72">
        <f t="shared" si="3"/>
        <v>10.702834338103852</v>
      </c>
      <c r="S14" s="5">
        <f t="shared" si="4"/>
        <v>0.14295888763934705</v>
      </c>
      <c r="T14" s="4">
        <f t="shared" si="5"/>
        <v>8.1358152284369485</v>
      </c>
      <c r="U14" s="66">
        <f>T14-1</f>
        <v>7.1358152284369485</v>
      </c>
      <c r="V14" s="160">
        <f t="shared" si="6"/>
        <v>0.81547825998545387</v>
      </c>
      <c r="W14" s="161">
        <f t="shared" si="7"/>
        <v>7.747837806545449E-3</v>
      </c>
      <c r="X14" s="161">
        <f t="shared" ref="X14" si="17">V14*SIN(RADIANS(T14))+W14*COS(RADIANS(T14))</f>
        <v>0.12307639263845875</v>
      </c>
      <c r="Y14" s="161">
        <f t="shared" si="9"/>
        <v>0.806174313082899</v>
      </c>
      <c r="Z14" s="162">
        <v>0.98336581446557103</v>
      </c>
      <c r="AA14" s="162">
        <v>0.18109973451240599</v>
      </c>
      <c r="AB14" s="163">
        <v>0.99990000000000001</v>
      </c>
      <c r="AC14" s="164">
        <v>2.33E-3</v>
      </c>
      <c r="AE14" s="1">
        <v>6.6918999999999897</v>
      </c>
      <c r="AF14" s="113">
        <v>5.2620000000000002E-3</v>
      </c>
      <c r="AG14" s="4">
        <v>17.304434604187424</v>
      </c>
    </row>
    <row r="15" spans="1:33" ht="14.5" thickBot="1" x14ac:dyDescent="0.35">
      <c r="A15" s="24"/>
      <c r="B15" s="64">
        <v>2138953.1916025369</v>
      </c>
      <c r="C15" s="26">
        <v>10</v>
      </c>
      <c r="D15" s="37">
        <v>1.0767</v>
      </c>
      <c r="E15" s="37">
        <v>3.0000000000000001E-3</v>
      </c>
      <c r="F15" s="25"/>
      <c r="G15" s="31">
        <f t="shared" si="0"/>
        <v>358.9</v>
      </c>
      <c r="I15" s="19">
        <v>10</v>
      </c>
      <c r="J15" s="20">
        <v>8.5</v>
      </c>
      <c r="K15" s="114">
        <v>0.18919821722097699</v>
      </c>
      <c r="L15" s="114">
        <v>4.6499999999999996E-3</v>
      </c>
      <c r="M15" s="117">
        <v>0.32481500000000002</v>
      </c>
      <c r="N15" s="117">
        <v>6.6090000000000003E-3</v>
      </c>
      <c r="O15" s="95">
        <v>0.7</v>
      </c>
      <c r="P15" s="98">
        <f>(1-K15)*$Q$34</f>
        <v>1.6216035655580461</v>
      </c>
      <c r="Q15" s="98">
        <f>(1+L15)*$Q$36*J15</f>
        <v>11.400265874999999</v>
      </c>
      <c r="R15" s="73">
        <f t="shared" si="3"/>
        <v>11.51501889466622</v>
      </c>
      <c r="S15" s="36">
        <f t="shared" si="4"/>
        <v>0.14224260936879651</v>
      </c>
      <c r="T15" s="27">
        <f t="shared" si="5"/>
        <v>8.095593417616163</v>
      </c>
      <c r="U15" s="67">
        <f>T15</f>
        <v>8.095593417616163</v>
      </c>
      <c r="V15" s="165">
        <f t="shared" si="6"/>
        <v>0.87335027009999922</v>
      </c>
      <c r="W15" s="166">
        <f t="shared" si="7"/>
        <v>7.6073013163636301E-3</v>
      </c>
      <c r="X15" s="166">
        <f t="shared" ref="X15" si="18">V15*SIN(RADIANS(T15))+W15*COS(RADIANS(T15))</f>
        <v>0.13052112057490373</v>
      </c>
      <c r="Y15" s="166">
        <f t="shared" si="9"/>
        <v>0.86357559159631825</v>
      </c>
      <c r="Z15" s="167">
        <v>1.0692233084423299</v>
      </c>
      <c r="AA15" s="167">
        <v>0.12670203898766499</v>
      </c>
      <c r="AB15" s="168">
        <v>1.0767</v>
      </c>
      <c r="AC15" s="169">
        <v>3.0000000000000001E-3</v>
      </c>
      <c r="AE15" s="1">
        <v>7.2946</v>
      </c>
      <c r="AF15" s="113">
        <v>4.9699999999999996E-3</v>
      </c>
      <c r="AG15" s="4">
        <v>20.902385836974613</v>
      </c>
    </row>
    <row r="16" spans="1:33" ht="14.5" thickBot="1" x14ac:dyDescent="0.35">
      <c r="K16"/>
      <c r="L16" s="10"/>
      <c r="M16" s="43"/>
      <c r="N16" s="43"/>
      <c r="S16" s="5"/>
      <c r="AE16" s="1">
        <v>7.8973000000000004</v>
      </c>
      <c r="AF16" s="113">
        <v>4.9529999999999999E-3</v>
      </c>
      <c r="AG16" s="4">
        <v>23.070484387867523</v>
      </c>
    </row>
    <row r="17" spans="1:33" ht="14.5" thickBot="1" x14ac:dyDescent="0.35">
      <c r="A17" s="8"/>
      <c r="B17" s="8"/>
      <c r="C17" s="8"/>
      <c r="D17" s="8"/>
      <c r="E17" s="8"/>
      <c r="F17" s="8"/>
      <c r="G17" s="8"/>
      <c r="H17" s="42"/>
      <c r="I17" s="8"/>
      <c r="K17" s="8"/>
      <c r="L17" s="9"/>
      <c r="AE17" s="20">
        <v>8.5</v>
      </c>
      <c r="AF17" s="114">
        <v>4.6499999999999996E-3</v>
      </c>
      <c r="AG17" s="4">
        <v>28.604362575880405</v>
      </c>
    </row>
    <row r="18" spans="1:33" ht="14.5" thickBot="1" x14ac:dyDescent="0.35">
      <c r="A18" s="137" t="s">
        <v>99</v>
      </c>
      <c r="B18" s="137"/>
      <c r="C18" s="137"/>
      <c r="D18" s="8"/>
      <c r="E18" s="8"/>
      <c r="F18" s="8"/>
      <c r="G18" s="8"/>
      <c r="H18" s="42"/>
      <c r="I18" s="8"/>
      <c r="K18" s="8"/>
      <c r="N18" s="140" t="s">
        <v>98</v>
      </c>
      <c r="O18" s="141"/>
      <c r="P18" s="141"/>
      <c r="Q18" s="141"/>
      <c r="R18" s="54"/>
      <c r="S18" s="54"/>
      <c r="T18" s="55"/>
      <c r="V18" s="140" t="s">
        <v>97</v>
      </c>
      <c r="W18" s="141"/>
      <c r="X18" s="141"/>
      <c r="Y18" s="141"/>
      <c r="Z18" s="141"/>
      <c r="AA18" s="141"/>
      <c r="AB18" s="141"/>
      <c r="AC18" s="142"/>
    </row>
    <row r="19" spans="1:33" x14ac:dyDescent="0.3">
      <c r="A19" s="138" t="s">
        <v>36</v>
      </c>
      <c r="B19" s="139"/>
      <c r="N19" s="21" t="s">
        <v>5</v>
      </c>
      <c r="O19" s="89" t="s">
        <v>28</v>
      </c>
      <c r="P19" s="77" t="s">
        <v>21</v>
      </c>
      <c r="Q19" s="110" t="s">
        <v>31</v>
      </c>
      <c r="R19" s="110" t="s">
        <v>32</v>
      </c>
      <c r="S19" s="11" t="s">
        <v>9</v>
      </c>
      <c r="T19" s="46" t="s">
        <v>44</v>
      </c>
      <c r="V19" s="74" t="s">
        <v>18</v>
      </c>
      <c r="W19" s="11" t="s">
        <v>19</v>
      </c>
      <c r="X19" s="11" t="s">
        <v>20</v>
      </c>
      <c r="Y19" s="68" t="s">
        <v>21</v>
      </c>
      <c r="Z19" s="46" t="s">
        <v>30</v>
      </c>
      <c r="AA19" s="21" t="s">
        <v>45</v>
      </c>
      <c r="AB19" s="11" t="s">
        <v>46</v>
      </c>
      <c r="AC19" s="59" t="s">
        <v>47</v>
      </c>
    </row>
    <row r="20" spans="1:33" x14ac:dyDescent="0.3">
      <c r="B20" s="2">
        <v>0</v>
      </c>
      <c r="D20" s="2">
        <v>1</v>
      </c>
      <c r="F20" s="2">
        <v>2</v>
      </c>
      <c r="H20" s="2">
        <v>3</v>
      </c>
      <c r="J20" s="2">
        <v>4</v>
      </c>
      <c r="L20" s="2">
        <v>5</v>
      </c>
      <c r="N20" s="21">
        <v>9</v>
      </c>
      <c r="O20" s="86">
        <f t="shared" ref="O20:O30" si="19">$P$34*V20*R34/$S$34</f>
        <v>6879848.085102764</v>
      </c>
      <c r="P20" s="78">
        <v>21.20713588201836</v>
      </c>
      <c r="Q20" s="105">
        <v>1.7825</v>
      </c>
      <c r="R20" s="105">
        <v>5.5599999999999997E-2</v>
      </c>
      <c r="S20" s="48">
        <f>Q20/R20</f>
        <v>32.059352517985616</v>
      </c>
      <c r="T20" s="30"/>
      <c r="V20" s="75">
        <v>3.8597467838638995</v>
      </c>
      <c r="W20" s="9">
        <v>0.64185071779471559</v>
      </c>
      <c r="X20" s="4">
        <v>32.694405692366992</v>
      </c>
      <c r="Y20" s="69">
        <v>21.20713588201836</v>
      </c>
      <c r="Z20" s="22">
        <v>10</v>
      </c>
      <c r="AA20" s="40">
        <v>0.16</v>
      </c>
      <c r="AB20" s="5">
        <f t="shared" ref="AB20:AB30" si="20">AA20*$Q$44</f>
        <v>2.4727272727272727</v>
      </c>
      <c r="AC20" s="60">
        <v>1.5454545454545454</v>
      </c>
    </row>
    <row r="21" spans="1:33" x14ac:dyDescent="0.3">
      <c r="N21" s="21"/>
      <c r="O21" s="87">
        <f t="shared" si="19"/>
        <v>7791707.9357489096</v>
      </c>
      <c r="P21" s="79">
        <v>16.353266144774704</v>
      </c>
      <c r="Q21" s="106">
        <v>1.7121</v>
      </c>
      <c r="R21" s="106">
        <v>1.7749999999999998E-2</v>
      </c>
      <c r="S21" s="48">
        <f t="shared" ref="S21:S30" si="21">Q21/R21</f>
        <v>96.456338028169014</v>
      </c>
      <c r="T21" s="30"/>
      <c r="V21" s="75">
        <v>4.5534586534776151</v>
      </c>
      <c r="W21" s="13">
        <v>0.5039621980425909</v>
      </c>
      <c r="X21" s="4">
        <v>26.74637697162327</v>
      </c>
      <c r="Y21" s="69">
        <v>16.353266144774704</v>
      </c>
      <c r="Z21" s="22">
        <v>9</v>
      </c>
      <c r="AA21" s="40">
        <v>0.19900000000000001</v>
      </c>
      <c r="AB21" s="5">
        <f t="shared" si="20"/>
        <v>3.0754545454545452</v>
      </c>
      <c r="AC21" s="60">
        <v>1.4836363636363636</v>
      </c>
    </row>
    <row r="22" spans="1:33" x14ac:dyDescent="0.3">
      <c r="N22" s="21"/>
      <c r="O22" s="87">
        <f t="shared" si="19"/>
        <v>8645048.8794020619</v>
      </c>
      <c r="P22" s="79">
        <v>12.823041916325209</v>
      </c>
      <c r="Q22" s="107">
        <v>1.4091</v>
      </c>
      <c r="R22" s="106">
        <v>1.1939999999999999E-2</v>
      </c>
      <c r="S22" s="48">
        <f t="shared" si="21"/>
        <v>118.01507537688443</v>
      </c>
      <c r="T22" s="30"/>
      <c r="V22" s="75">
        <v>5.2718080772096245</v>
      </c>
      <c r="W22" s="13">
        <v>0.4076615822369789</v>
      </c>
      <c r="X22" s="4">
        <v>22.178834751192309</v>
      </c>
      <c r="Y22" s="69">
        <v>12.823041916325209</v>
      </c>
      <c r="Z22" s="22">
        <v>8</v>
      </c>
      <c r="AA22" s="40">
        <v>0.23799999999999999</v>
      </c>
      <c r="AB22" s="5">
        <f t="shared" si="20"/>
        <v>3.6781818181818178</v>
      </c>
      <c r="AC22" s="60">
        <v>1.4218181818181816</v>
      </c>
    </row>
    <row r="23" spans="1:33" x14ac:dyDescent="0.3">
      <c r="N23" s="21"/>
      <c r="O23" s="86">
        <f t="shared" si="19"/>
        <v>9417914.504316017</v>
      </c>
      <c r="P23" s="78">
        <v>10.088177242650339</v>
      </c>
      <c r="Q23" s="108">
        <v>1.1238999999999999</v>
      </c>
      <c r="R23" s="105">
        <v>9.0200000000000002E-3</v>
      </c>
      <c r="S23" s="48">
        <f t="shared" si="21"/>
        <v>124.60088691796007</v>
      </c>
      <c r="T23" s="30"/>
      <c r="V23" s="75">
        <v>6.0041569577695046</v>
      </c>
      <c r="W23" s="13">
        <v>0.33492395389530499</v>
      </c>
      <c r="X23" s="4">
        <v>18.516931906257984</v>
      </c>
      <c r="Y23" s="69">
        <v>10.088177242650339</v>
      </c>
      <c r="Z23" s="22">
        <v>7</v>
      </c>
      <c r="AA23" s="40">
        <v>0.27700000000000002</v>
      </c>
      <c r="AB23" s="5">
        <f t="shared" si="20"/>
        <v>4.2809090909090912</v>
      </c>
      <c r="AC23" s="60">
        <v>1.3599999999999999</v>
      </c>
    </row>
    <row r="24" spans="1:33" x14ac:dyDescent="0.3">
      <c r="N24" s="21"/>
      <c r="O24" s="86">
        <f t="shared" si="19"/>
        <v>10090762.685617514</v>
      </c>
      <c r="P24" s="78">
        <v>7.626213906057373</v>
      </c>
      <c r="Q24" s="105">
        <v>0.85729999999999995</v>
      </c>
      <c r="R24" s="111">
        <v>7.1999999999999998E-3</v>
      </c>
      <c r="S24" s="48">
        <f t="shared" si="21"/>
        <v>119.06944444444444</v>
      </c>
      <c r="T24" s="30"/>
      <c r="V24" s="75">
        <v>6.7394533558575223</v>
      </c>
      <c r="W24" s="13">
        <v>0.27705205218381246</v>
      </c>
      <c r="X24" s="4">
        <v>15.485501345824904</v>
      </c>
      <c r="Y24" s="69">
        <v>7.626213906057373</v>
      </c>
      <c r="Z24" s="22">
        <v>6</v>
      </c>
      <c r="AA24" s="40">
        <v>0.316</v>
      </c>
      <c r="AB24" s="5">
        <f t="shared" si="20"/>
        <v>4.8836363636363629</v>
      </c>
      <c r="AC24" s="60">
        <v>1.2981818181818181</v>
      </c>
    </row>
    <row r="25" spans="1:33" x14ac:dyDescent="0.3">
      <c r="N25" s="21"/>
      <c r="O25" s="86">
        <f t="shared" si="19"/>
        <v>10692109.23114172</v>
      </c>
      <c r="P25" s="78">
        <v>6.1985796467104759</v>
      </c>
      <c r="Q25" s="105">
        <v>0.7006</v>
      </c>
      <c r="R25" s="105">
        <v>6.5100000000000002E-3</v>
      </c>
      <c r="S25" s="48">
        <f t="shared" si="21"/>
        <v>107.61904761904762</v>
      </c>
      <c r="T25" s="30"/>
      <c r="V25" s="75">
        <v>7.498136896907285</v>
      </c>
      <c r="W25" s="13">
        <v>0.23027046916769675</v>
      </c>
      <c r="X25" s="4">
        <v>12.967481795097717</v>
      </c>
      <c r="Y25" s="69">
        <v>6.1985796467104759</v>
      </c>
      <c r="Z25" s="22">
        <v>5</v>
      </c>
      <c r="AA25" s="40">
        <v>0.35499999999999998</v>
      </c>
      <c r="AB25" s="5">
        <f t="shared" si="20"/>
        <v>5.4863636363636354</v>
      </c>
      <c r="AC25" s="60">
        <v>1.2363636363636363</v>
      </c>
    </row>
    <row r="26" spans="1:33" x14ac:dyDescent="0.3">
      <c r="N26" s="21"/>
      <c r="O26" s="87">
        <f t="shared" si="19"/>
        <v>11226243.429487934</v>
      </c>
      <c r="P26" s="79">
        <v>5.559260243722365</v>
      </c>
      <c r="Q26" s="106">
        <v>0.62949999999999995</v>
      </c>
      <c r="R26" s="106">
        <v>6.2599999999999999E-3</v>
      </c>
      <c r="S26" s="48">
        <f t="shared" si="21"/>
        <v>100.5591054313099</v>
      </c>
      <c r="T26" s="30"/>
      <c r="V26" s="75">
        <v>8.2870665846426395</v>
      </c>
      <c r="W26" s="13">
        <v>0.1963687949506302</v>
      </c>
      <c r="X26" s="4">
        <v>11.109742797862495</v>
      </c>
      <c r="Y26" s="69">
        <v>5.559260243722365</v>
      </c>
      <c r="Z26" s="22">
        <v>4</v>
      </c>
      <c r="AA26" s="40">
        <v>0.39400000000000002</v>
      </c>
      <c r="AB26" s="5">
        <f t="shared" si="20"/>
        <v>6.0890909090909089</v>
      </c>
      <c r="AC26" s="60">
        <v>1.1745454545454543</v>
      </c>
    </row>
    <row r="27" spans="1:33" x14ac:dyDescent="0.3">
      <c r="N27" s="21"/>
      <c r="O27" s="87">
        <f t="shared" si="19"/>
        <v>11652448.715074174</v>
      </c>
      <c r="P27" s="79">
        <v>5.462799748373909</v>
      </c>
      <c r="Q27" s="107">
        <v>0.61870000000000003</v>
      </c>
      <c r="R27" s="106">
        <v>6.2199999999999998E-3</v>
      </c>
      <c r="S27" s="48">
        <f t="shared" si="21"/>
        <v>99.469453376205792</v>
      </c>
      <c r="T27" s="30"/>
      <c r="V27" s="75">
        <v>9.0795572033563907</v>
      </c>
      <c r="W27" s="13">
        <v>0.17548614051003611</v>
      </c>
      <c r="X27" s="4">
        <v>9.9532693983324574</v>
      </c>
      <c r="Y27" s="69">
        <v>5.462799748373909</v>
      </c>
      <c r="Z27" s="22">
        <v>3</v>
      </c>
      <c r="AA27" s="40">
        <v>0.433</v>
      </c>
      <c r="AB27" s="5">
        <f t="shared" si="20"/>
        <v>6.6918181818181814</v>
      </c>
      <c r="AC27" s="60">
        <v>1.1127272727272726</v>
      </c>
    </row>
    <row r="28" spans="1:33" x14ac:dyDescent="0.3">
      <c r="N28" s="23"/>
      <c r="O28" s="87">
        <f t="shared" si="19"/>
        <v>11975544.908065736</v>
      </c>
      <c r="P28" s="79">
        <v>5.8896488123198987</v>
      </c>
      <c r="Q28" s="106">
        <v>0.66720000000000002</v>
      </c>
      <c r="R28" s="106">
        <v>6.3499999999999997E-3</v>
      </c>
      <c r="S28" s="48">
        <f t="shared" si="21"/>
        <v>105.0708661417323</v>
      </c>
      <c r="T28" s="30"/>
      <c r="V28" s="75">
        <v>9.8802136608758655</v>
      </c>
      <c r="W28" s="13">
        <v>0.15838282096090175</v>
      </c>
      <c r="X28" s="4">
        <v>8.9999094878299246</v>
      </c>
      <c r="Y28" s="69">
        <v>5.8896488123198987</v>
      </c>
      <c r="Z28" s="22">
        <v>2</v>
      </c>
      <c r="AA28" s="40">
        <v>0.47199999999999998</v>
      </c>
      <c r="AB28" s="5">
        <f t="shared" si="20"/>
        <v>7.2945454545454531</v>
      </c>
      <c r="AC28" s="60">
        <v>1.0509090909090908</v>
      </c>
    </row>
    <row r="29" spans="1:33" x14ac:dyDescent="0.3">
      <c r="N29" s="21"/>
      <c r="O29" s="87">
        <f t="shared" si="19"/>
        <v>12168135.138042396</v>
      </c>
      <c r="P29" s="78">
        <v>5.1161464361341036</v>
      </c>
      <c r="Q29" s="107">
        <v>0.6673</v>
      </c>
      <c r="R29" s="106">
        <v>6.3400000000000001E-3</v>
      </c>
      <c r="S29" s="48">
        <f t="shared" si="21"/>
        <v>105.25236593059937</v>
      </c>
      <c r="T29" s="30"/>
      <c r="V29" s="75">
        <v>10.666551036928468</v>
      </c>
      <c r="W29" s="13">
        <v>0.13415478151127233</v>
      </c>
      <c r="X29" s="4">
        <v>7.6408817913253753</v>
      </c>
      <c r="Y29" s="69">
        <v>5.1161464361341036</v>
      </c>
      <c r="Z29" s="22">
        <v>1</v>
      </c>
      <c r="AA29" s="40">
        <v>0.51100000000000001</v>
      </c>
      <c r="AB29" s="5">
        <f t="shared" si="20"/>
        <v>7.8972727272727266</v>
      </c>
      <c r="AC29" s="60">
        <v>0.98909090909090902</v>
      </c>
    </row>
    <row r="30" spans="1:33" ht="14.5" thickBot="1" x14ac:dyDescent="0.35">
      <c r="B30" s="2">
        <v>6</v>
      </c>
      <c r="D30" s="2">
        <v>7</v>
      </c>
      <c r="F30" s="2">
        <v>8</v>
      </c>
      <c r="H30" s="2">
        <v>9</v>
      </c>
      <c r="J30" s="2">
        <v>10</v>
      </c>
      <c r="N30" s="24"/>
      <c r="O30" s="88">
        <f t="shared" si="19"/>
        <v>12301161.716246296</v>
      </c>
      <c r="P30" s="80">
        <v>6.7422263096866333</v>
      </c>
      <c r="Q30" s="109">
        <v>0.76229999999999998</v>
      </c>
      <c r="R30" s="109">
        <v>6.6400000000000001E-3</v>
      </c>
      <c r="S30" s="101">
        <f t="shared" si="21"/>
        <v>114.80421686746988</v>
      </c>
      <c r="T30" s="31"/>
      <c r="V30" s="76">
        <v>11.502039188646362</v>
      </c>
      <c r="W30" s="28">
        <v>0.11984567369214098</v>
      </c>
      <c r="X30" s="27">
        <v>6.8340565282960766</v>
      </c>
      <c r="Y30" s="70">
        <v>6.7422263096866333</v>
      </c>
      <c r="Z30" s="29">
        <v>0</v>
      </c>
      <c r="AA30" s="41">
        <v>0.55000000000000004</v>
      </c>
      <c r="AB30" s="36">
        <f t="shared" si="20"/>
        <v>8.5</v>
      </c>
      <c r="AC30" s="61">
        <v>0.92727272727272714</v>
      </c>
    </row>
    <row r="31" spans="1:33" ht="14.5" thickBot="1" x14ac:dyDescent="0.35"/>
    <row r="32" spans="1:33" x14ac:dyDescent="0.3">
      <c r="N32" s="140" t="s">
        <v>27</v>
      </c>
      <c r="O32" s="141"/>
      <c r="P32" s="141"/>
      <c r="Q32" s="141"/>
      <c r="R32" s="141"/>
      <c r="S32" s="142"/>
    </row>
    <row r="33" spans="1:23" x14ac:dyDescent="0.3">
      <c r="N33" s="134" t="s">
        <v>51</v>
      </c>
      <c r="O33" s="135"/>
      <c r="P33" s="47" t="s">
        <v>1</v>
      </c>
      <c r="Q33" s="47" t="s">
        <v>40</v>
      </c>
      <c r="R33" s="47" t="s">
        <v>3</v>
      </c>
      <c r="S33" s="56" t="s">
        <v>2</v>
      </c>
      <c r="T33" s="144" t="s">
        <v>93</v>
      </c>
      <c r="W33"/>
    </row>
    <row r="34" spans="1:23" x14ac:dyDescent="0.3">
      <c r="N34" s="21"/>
      <c r="O34" s="63">
        <f t="shared" ref="O34:O44" si="22">$P$34*$Q$34*R34/$S$34</f>
        <v>3564921.9860042287</v>
      </c>
      <c r="P34" s="2">
        <v>1025</v>
      </c>
      <c r="Q34" s="2">
        <v>2</v>
      </c>
      <c r="R34" s="57">
        <v>1.5454545454545454</v>
      </c>
      <c r="S34" s="35">
        <v>8.8871000000000002E-4</v>
      </c>
      <c r="W34"/>
    </row>
    <row r="35" spans="1:23" x14ac:dyDescent="0.3">
      <c r="N35" s="21"/>
      <c r="O35" s="63">
        <f t="shared" si="22"/>
        <v>3422325.1065640594</v>
      </c>
      <c r="Q35" s="11" t="s">
        <v>39</v>
      </c>
      <c r="R35" s="57">
        <v>1.4836363636363636</v>
      </c>
      <c r="S35" s="22"/>
      <c r="W35"/>
    </row>
    <row r="36" spans="1:23" x14ac:dyDescent="0.3">
      <c r="N36" s="21"/>
      <c r="O36" s="63">
        <f t="shared" si="22"/>
        <v>3279728.2271238901</v>
      </c>
      <c r="Q36" s="2">
        <v>1.335</v>
      </c>
      <c r="R36" s="57">
        <v>1.4218181818181816</v>
      </c>
      <c r="S36" s="22"/>
      <c r="W36"/>
    </row>
    <row r="37" spans="1:23" x14ac:dyDescent="0.3">
      <c r="N37" s="21"/>
      <c r="O37" s="63">
        <f t="shared" si="22"/>
        <v>3137131.3476837208</v>
      </c>
      <c r="Q37" s="11" t="s">
        <v>52</v>
      </c>
      <c r="R37" s="57">
        <v>1.3599999999999999</v>
      </c>
      <c r="S37" s="22"/>
    </row>
    <row r="38" spans="1:23" x14ac:dyDescent="0.3">
      <c r="N38" s="21"/>
      <c r="O38" s="63">
        <f t="shared" si="22"/>
        <v>2994534.4682435519</v>
      </c>
      <c r="Q38" s="2">
        <v>8.5</v>
      </c>
      <c r="R38" s="57">
        <v>1.2981818181818181</v>
      </c>
      <c r="S38" s="22"/>
      <c r="W38" s="7"/>
    </row>
    <row r="39" spans="1:23" x14ac:dyDescent="0.3">
      <c r="N39" s="21"/>
      <c r="O39" s="63">
        <f t="shared" si="22"/>
        <v>2851937.5888033831</v>
      </c>
      <c r="Q39" s="11" t="s">
        <v>41</v>
      </c>
      <c r="R39" s="57">
        <v>1.2363636363636363</v>
      </c>
      <c r="S39" s="22"/>
    </row>
    <row r="40" spans="1:23" x14ac:dyDescent="0.3">
      <c r="N40" s="21"/>
      <c r="O40" s="63">
        <f t="shared" si="22"/>
        <v>2709340.7093632133</v>
      </c>
      <c r="Q40" s="5">
        <f>J15-J14</f>
        <v>0.60269999999999957</v>
      </c>
      <c r="R40" s="57">
        <v>1.1745454545454543</v>
      </c>
      <c r="S40" s="22"/>
    </row>
    <row r="41" spans="1:23" x14ac:dyDescent="0.3">
      <c r="A41" s="136" t="s">
        <v>49</v>
      </c>
      <c r="B41" s="137"/>
      <c r="C41" s="137"/>
      <c r="N41" s="21"/>
      <c r="O41" s="63">
        <f t="shared" si="22"/>
        <v>2566743.829923044</v>
      </c>
      <c r="Q41" s="11" t="s">
        <v>42</v>
      </c>
      <c r="R41" s="57">
        <v>1.1127272727272726</v>
      </c>
      <c r="S41" s="22"/>
    </row>
    <row r="42" spans="1:23" x14ac:dyDescent="0.3">
      <c r="B42" s="2" t="s">
        <v>50</v>
      </c>
      <c r="D42" s="2">
        <v>1</v>
      </c>
      <c r="F42" s="2">
        <v>2</v>
      </c>
      <c r="H42" s="2">
        <v>3</v>
      </c>
      <c r="J42" s="2">
        <v>4</v>
      </c>
      <c r="L42" s="2">
        <v>5</v>
      </c>
      <c r="N42" s="21"/>
      <c r="O42" s="63">
        <f t="shared" si="22"/>
        <v>2424146.9504828751</v>
      </c>
      <c r="Q42" s="5">
        <f>R43-R44</f>
        <v>6.1818181818181883E-2</v>
      </c>
      <c r="R42" s="57">
        <v>1.0509090909090908</v>
      </c>
      <c r="S42" s="22"/>
      <c r="W42" s="7"/>
    </row>
    <row r="43" spans="1:23" x14ac:dyDescent="0.3">
      <c r="N43" s="21"/>
      <c r="O43" s="63">
        <f t="shared" si="22"/>
        <v>2281550.0710427063</v>
      </c>
      <c r="Q43" s="11" t="s">
        <v>48</v>
      </c>
      <c r="R43" s="57">
        <v>0.98909090909090902</v>
      </c>
      <c r="S43" s="22"/>
      <c r="U43" s="12" t="s">
        <v>29</v>
      </c>
    </row>
    <row r="44" spans="1:23" ht="14.5" thickBot="1" x14ac:dyDescent="0.35">
      <c r="N44" s="24"/>
      <c r="O44" s="64">
        <f t="shared" si="22"/>
        <v>2138953.1916025369</v>
      </c>
      <c r="P44" s="26"/>
      <c r="Q44" s="37">
        <f>8.5/0.55</f>
        <v>15.454545454545453</v>
      </c>
      <c r="R44" s="58">
        <v>0.92727272727272714</v>
      </c>
      <c r="S44" s="29"/>
    </row>
    <row r="47" spans="1:23" x14ac:dyDescent="0.3">
      <c r="P47" s="5"/>
    </row>
    <row r="48" spans="1:23" x14ac:dyDescent="0.3">
      <c r="P48" s="5"/>
    </row>
    <row r="49" spans="4:32" ht="14.5" thickBot="1" x14ac:dyDescent="0.35">
      <c r="P49" s="38"/>
      <c r="V49" s="6"/>
      <c r="X49" s="9"/>
      <c r="Y49" s="100"/>
      <c r="Z49" s="6"/>
      <c r="AA49" s="6"/>
      <c r="AC49" s="9"/>
      <c r="AE49" s="9"/>
      <c r="AF49" s="26"/>
    </row>
    <row r="50" spans="4:32" ht="14.5" thickBot="1" x14ac:dyDescent="0.35">
      <c r="P50" s="38"/>
      <c r="V50" s="6"/>
      <c r="Y50" s="6"/>
      <c r="Z50" s="6"/>
      <c r="AA50" s="6"/>
      <c r="AF50" s="26"/>
    </row>
    <row r="51" spans="4:32" x14ac:dyDescent="0.3">
      <c r="P51" s="38"/>
    </row>
    <row r="52" spans="4:32" x14ac:dyDescent="0.3">
      <c r="P52" s="38"/>
    </row>
    <row r="53" spans="4:32" x14ac:dyDescent="0.3">
      <c r="D53" s="2">
        <v>6</v>
      </c>
      <c r="F53" s="2">
        <v>7</v>
      </c>
      <c r="H53" s="2">
        <v>8</v>
      </c>
      <c r="J53" s="2">
        <v>9</v>
      </c>
      <c r="L53" s="2">
        <v>10</v>
      </c>
      <c r="P53" s="38"/>
    </row>
    <row r="54" spans="4:32" x14ac:dyDescent="0.3">
      <c r="P54" s="38"/>
    </row>
    <row r="55" spans="4:32" x14ac:dyDescent="0.3">
      <c r="P55" s="38"/>
    </row>
    <row r="56" spans="4:32" x14ac:dyDescent="0.3">
      <c r="P56" s="38"/>
    </row>
    <row r="57" spans="4:32" x14ac:dyDescent="0.3">
      <c r="P57" s="38"/>
    </row>
    <row r="58" spans="4:32" x14ac:dyDescent="0.3">
      <c r="P58" s="38"/>
    </row>
    <row r="59" spans="4:32" x14ac:dyDescent="0.3">
      <c r="P59" s="38"/>
    </row>
  </sheetData>
  <mergeCells count="10">
    <mergeCell ref="N33:O33"/>
    <mergeCell ref="A41:C41"/>
    <mergeCell ref="A3:B3"/>
    <mergeCell ref="I3:K3"/>
    <mergeCell ref="V18:AC18"/>
    <mergeCell ref="A19:B19"/>
    <mergeCell ref="N32:S32"/>
    <mergeCell ref="V3:X3"/>
    <mergeCell ref="N18:Q18"/>
    <mergeCell ref="A18:C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FAA77-28CD-42BE-B918-60F1015C4BF1}">
  <dimension ref="E4:Y42"/>
  <sheetViews>
    <sheetView zoomScale="85" zoomScaleNormal="85" workbookViewId="0">
      <selection activeCell="V20" sqref="V20"/>
    </sheetView>
  </sheetViews>
  <sheetFormatPr defaultRowHeight="14" x14ac:dyDescent="0.3"/>
  <cols>
    <col min="12" max="12" width="9.1640625" bestFit="1" customWidth="1"/>
    <col min="13" max="13" width="10.08203125" bestFit="1" customWidth="1"/>
  </cols>
  <sheetData>
    <row r="4" spans="5:25" ht="14.5" thickBot="1" x14ac:dyDescent="0.35">
      <c r="G4" s="137" t="s">
        <v>84</v>
      </c>
      <c r="H4" s="137"/>
      <c r="I4" s="137"/>
      <c r="J4" s="137"/>
      <c r="K4" s="11"/>
      <c r="L4" s="11"/>
      <c r="Q4" s="137"/>
      <c r="R4" s="137"/>
      <c r="S4" s="137"/>
      <c r="T4" s="137"/>
      <c r="U4" s="137"/>
      <c r="V4" s="137"/>
    </row>
    <row r="5" spans="5:25" ht="14" customHeight="1" x14ac:dyDescent="0.3">
      <c r="E5" s="11"/>
      <c r="G5" s="202" t="s">
        <v>33</v>
      </c>
      <c r="H5" s="203" t="s">
        <v>10</v>
      </c>
      <c r="I5" s="127" t="s">
        <v>28</v>
      </c>
      <c r="J5" s="208" t="s">
        <v>31</v>
      </c>
      <c r="K5" s="208" t="s">
        <v>32</v>
      </c>
      <c r="L5" s="191" t="s">
        <v>86</v>
      </c>
      <c r="M5" s="192" t="s">
        <v>87</v>
      </c>
      <c r="N5" s="207" t="s">
        <v>15</v>
      </c>
      <c r="O5" s="182" t="s">
        <v>18</v>
      </c>
      <c r="P5" s="183" t="s">
        <v>85</v>
      </c>
      <c r="Q5" s="209"/>
      <c r="R5" s="45"/>
      <c r="S5" s="45"/>
      <c r="T5" s="45"/>
      <c r="U5" s="45"/>
      <c r="V5" s="129"/>
      <c r="W5" s="45"/>
      <c r="X5" s="45"/>
      <c r="Y5" s="45"/>
    </row>
    <row r="6" spans="5:25" x14ac:dyDescent="0.3">
      <c r="E6" s="2"/>
      <c r="F6" s="143" t="s">
        <v>88</v>
      </c>
      <c r="G6" s="18">
        <v>0</v>
      </c>
      <c r="H6" s="180">
        <v>2.4729999999999999</v>
      </c>
      <c r="I6" s="193">
        <v>5668902.5158365946</v>
      </c>
      <c r="J6" s="146">
        <v>1.1812</v>
      </c>
      <c r="K6" s="147">
        <v>0.37959999999999999</v>
      </c>
      <c r="L6" s="131">
        <v>7.1900000000000002E-4</v>
      </c>
      <c r="M6" s="132">
        <v>1.0373E-2</v>
      </c>
      <c r="N6" s="194">
        <v>0.99937309107274197</v>
      </c>
      <c r="O6" s="130">
        <v>3.1803796541950877</v>
      </c>
      <c r="P6" s="195">
        <v>28.963657317594382</v>
      </c>
      <c r="Q6" s="210"/>
      <c r="R6" s="128"/>
      <c r="S6" s="4"/>
      <c r="U6" s="10"/>
      <c r="V6" s="128"/>
      <c r="W6" s="4"/>
      <c r="Y6" s="10"/>
    </row>
    <row r="7" spans="5:25" x14ac:dyDescent="0.3">
      <c r="E7" s="11"/>
      <c r="F7" s="143"/>
      <c r="G7" s="18">
        <v>1</v>
      </c>
      <c r="H7" s="180">
        <v>3.0756999999999999</v>
      </c>
      <c r="I7" s="196">
        <v>6270315.2438076902</v>
      </c>
      <c r="J7" s="149">
        <v>1.3106</v>
      </c>
      <c r="K7" s="197">
        <v>0.16813</v>
      </c>
      <c r="L7" s="131">
        <v>7.1199999999999996E-4</v>
      </c>
      <c r="M7" s="132">
        <v>9.9299999999999996E-3</v>
      </c>
      <c r="N7" s="194">
        <v>0.99836142552135199</v>
      </c>
      <c r="O7" s="130">
        <v>3.6643671978469472</v>
      </c>
      <c r="P7" s="66">
        <v>23.721228666374607</v>
      </c>
      <c r="Q7" s="211"/>
      <c r="R7" s="128"/>
      <c r="S7" s="4"/>
      <c r="U7" s="10"/>
      <c r="V7" s="128"/>
      <c r="W7" s="4"/>
      <c r="Y7" s="10"/>
    </row>
    <row r="8" spans="5:25" x14ac:dyDescent="0.3">
      <c r="E8" s="3"/>
      <c r="F8" s="143"/>
      <c r="G8" s="18">
        <v>2</v>
      </c>
      <c r="H8" s="180">
        <v>3.6783999999999999</v>
      </c>
      <c r="I8" s="196">
        <v>6852041.081033838</v>
      </c>
      <c r="J8" s="150">
        <v>1.8220000000000001</v>
      </c>
      <c r="K8" s="197">
        <v>3.4410000000000003E-2</v>
      </c>
      <c r="L8" s="131">
        <v>1.0219999999999999E-3</v>
      </c>
      <c r="M8" s="132">
        <v>1.6275999999999999E-2</v>
      </c>
      <c r="N8" s="194">
        <v>0.99645860527821395</v>
      </c>
      <c r="O8" s="130">
        <v>4.1784519962988487</v>
      </c>
      <c r="P8" s="66">
        <v>19.929072211169068</v>
      </c>
      <c r="Q8" s="211"/>
      <c r="R8" s="128"/>
      <c r="S8" s="4"/>
      <c r="U8" s="10"/>
      <c r="V8" s="128"/>
      <c r="W8" s="4"/>
      <c r="Y8" s="10"/>
    </row>
    <row r="9" spans="5:25" x14ac:dyDescent="0.3">
      <c r="E9" s="11"/>
      <c r="F9" s="143"/>
      <c r="G9" s="18">
        <v>3</v>
      </c>
      <c r="H9" s="180">
        <v>4.2811000000000003</v>
      </c>
      <c r="I9" s="193">
        <v>7392649.0298088165</v>
      </c>
      <c r="J9" s="151">
        <v>1.7370000000000001</v>
      </c>
      <c r="K9" s="147">
        <v>1.9429999999999999E-2</v>
      </c>
      <c r="L9" s="131">
        <v>1.2930000000000001E-3</v>
      </c>
      <c r="M9" s="132">
        <v>2.0697E-2</v>
      </c>
      <c r="N9" s="194">
        <v>0.99288884711721603</v>
      </c>
      <c r="O9" s="130">
        <v>4.7130947896360986</v>
      </c>
      <c r="P9" s="195">
        <v>17.171415978513689</v>
      </c>
      <c r="Q9" s="210"/>
      <c r="R9" s="128"/>
      <c r="S9" s="4"/>
      <c r="U9" s="10"/>
      <c r="V9" s="128"/>
      <c r="W9" s="4"/>
      <c r="Y9" s="10"/>
    </row>
    <row r="10" spans="5:25" x14ac:dyDescent="0.3">
      <c r="E10" s="2"/>
      <c r="F10" s="143"/>
      <c r="G10" s="18">
        <v>4</v>
      </c>
      <c r="H10" s="180">
        <v>4.8837999999999999</v>
      </c>
      <c r="I10" s="193">
        <v>7879095.5758644389</v>
      </c>
      <c r="J10" s="146">
        <v>1.5985</v>
      </c>
      <c r="K10" s="147">
        <v>1.494E-2</v>
      </c>
      <c r="L10" s="131">
        <v>1.5610000000000001E-3</v>
      </c>
      <c r="M10" s="132">
        <v>2.4271000000000001E-2</v>
      </c>
      <c r="N10" s="194">
        <v>0.98603765927301501</v>
      </c>
      <c r="O10" s="130">
        <v>5.262559197801238</v>
      </c>
      <c r="P10" s="195">
        <v>15.174622740162778</v>
      </c>
      <c r="Q10" s="210"/>
      <c r="R10" s="128"/>
      <c r="S10" s="4"/>
      <c r="U10" s="10"/>
      <c r="V10" s="128"/>
      <c r="W10" s="4"/>
      <c r="Y10" s="10"/>
    </row>
    <row r="11" spans="5:25" x14ac:dyDescent="0.3">
      <c r="E11" s="11"/>
      <c r="F11" s="143"/>
      <c r="G11" s="18">
        <v>5</v>
      </c>
      <c r="H11" s="180">
        <v>5.4864999999999897</v>
      </c>
      <c r="I11" s="193">
        <v>8303060.372136442</v>
      </c>
      <c r="J11" s="146">
        <v>1.4654</v>
      </c>
      <c r="K11" s="147">
        <v>1.2829999999999999E-2</v>
      </c>
      <c r="L11" s="131">
        <v>1.8699999999999999E-3</v>
      </c>
      <c r="M11" s="132">
        <v>2.7862000000000001E-2</v>
      </c>
      <c r="N11" s="194">
        <v>0.97264285824132901</v>
      </c>
      <c r="O11" s="130">
        <v>5.8233033568012553</v>
      </c>
      <c r="P11" s="195">
        <v>13.759360390987187</v>
      </c>
      <c r="Q11" s="210"/>
      <c r="R11" s="128"/>
      <c r="S11" s="4"/>
      <c r="U11" s="10"/>
      <c r="V11" s="128"/>
      <c r="W11" s="4"/>
      <c r="Y11" s="10"/>
    </row>
    <row r="12" spans="5:25" x14ac:dyDescent="0.3">
      <c r="E12" s="2"/>
      <c r="F12" s="143"/>
      <c r="G12" s="18">
        <v>6</v>
      </c>
      <c r="H12" s="180">
        <v>6.0891999999999999</v>
      </c>
      <c r="I12" s="196">
        <v>8658823.6026383433</v>
      </c>
      <c r="J12" s="149">
        <v>1.3702000000000001</v>
      </c>
      <c r="K12" s="197">
        <v>1.154E-2</v>
      </c>
      <c r="L12" s="131">
        <v>2.2539999999999999E-3</v>
      </c>
      <c r="M12" s="132">
        <v>3.1975000000000003E-2</v>
      </c>
      <c r="N12" s="194">
        <v>0.94639537171909704</v>
      </c>
      <c r="O12" s="130">
        <v>6.3929942672237754</v>
      </c>
      <c r="P12" s="66">
        <v>12.804284887952921</v>
      </c>
      <c r="Q12" s="211"/>
      <c r="R12" s="128"/>
      <c r="S12" s="4"/>
      <c r="U12" s="10"/>
      <c r="V12" s="128"/>
      <c r="W12" s="4"/>
      <c r="Y12" s="10"/>
    </row>
    <row r="13" spans="5:25" x14ac:dyDescent="0.3">
      <c r="E13" s="11"/>
      <c r="F13" s="143"/>
      <c r="G13" s="18">
        <v>7</v>
      </c>
      <c r="H13" s="180">
        <v>6.6918999999999897</v>
      </c>
      <c r="I13" s="196">
        <v>8941598.9245350175</v>
      </c>
      <c r="J13" s="150">
        <v>1.3049999999999999</v>
      </c>
      <c r="K13" s="197">
        <v>1.074E-2</v>
      </c>
      <c r="L13" s="131">
        <v>2.7339999999999999E-3</v>
      </c>
      <c r="M13" s="132">
        <v>3.678E-2</v>
      </c>
      <c r="N13" s="194">
        <v>0.89630485377753899</v>
      </c>
      <c r="O13" s="130">
        <v>6.9695829216118614</v>
      </c>
      <c r="P13" s="66">
        <v>12.194563217526889</v>
      </c>
      <c r="Q13" s="211"/>
      <c r="R13" s="128"/>
      <c r="S13" s="4"/>
      <c r="U13" s="10"/>
      <c r="V13" s="128"/>
      <c r="W13" s="4"/>
      <c r="Y13" s="10"/>
    </row>
    <row r="14" spans="5:25" x14ac:dyDescent="0.3">
      <c r="E14" s="4"/>
      <c r="F14" s="143"/>
      <c r="G14" s="18">
        <v>8</v>
      </c>
      <c r="H14" s="180">
        <v>7.2946</v>
      </c>
      <c r="I14" s="196">
        <v>9147851.0065926034</v>
      </c>
      <c r="J14" s="149">
        <v>1.2588999999999999</v>
      </c>
      <c r="K14" s="197">
        <v>1.017E-2</v>
      </c>
      <c r="L14" s="131">
        <v>3.4229999999999998E-3</v>
      </c>
      <c r="M14" s="132">
        <v>4.3463000000000002E-2</v>
      </c>
      <c r="N14" s="194">
        <v>0.80351089788471397</v>
      </c>
      <c r="O14" s="130">
        <v>7.551736067189819</v>
      </c>
      <c r="P14" s="66">
        <v>11.857378756744051</v>
      </c>
      <c r="Q14" s="211"/>
      <c r="R14" s="128"/>
      <c r="S14" s="4"/>
      <c r="U14" s="10"/>
      <c r="V14" s="128"/>
      <c r="W14" s="4"/>
      <c r="Y14" s="10"/>
    </row>
    <row r="15" spans="5:25" x14ac:dyDescent="0.3">
      <c r="F15" s="143"/>
      <c r="G15" s="18">
        <v>9</v>
      </c>
      <c r="H15" s="180">
        <v>7.8973000000000004</v>
      </c>
      <c r="I15" s="196">
        <v>9273793.5492117256</v>
      </c>
      <c r="J15" s="150">
        <v>1.1811</v>
      </c>
      <c r="K15" s="197">
        <v>9.5099999999999994E-3</v>
      </c>
      <c r="L15" s="131">
        <v>4.8630000000000001E-3</v>
      </c>
      <c r="M15" s="132">
        <v>5.7745999999999999E-2</v>
      </c>
      <c r="N15" s="194">
        <v>0.630445982857746</v>
      </c>
      <c r="O15" s="130">
        <v>8.1386585339942084</v>
      </c>
      <c r="P15" s="195">
        <v>11.771922554709162</v>
      </c>
      <c r="Q15" s="211"/>
      <c r="R15" s="128"/>
      <c r="S15" s="4"/>
      <c r="U15" s="10"/>
      <c r="V15" s="128"/>
      <c r="W15" s="4"/>
      <c r="Y15" s="10"/>
    </row>
    <row r="16" spans="5:25" ht="14.5" thickBot="1" x14ac:dyDescent="0.35">
      <c r="F16" s="143"/>
      <c r="G16" s="19">
        <v>10</v>
      </c>
      <c r="H16" s="20">
        <v>8.5</v>
      </c>
      <c r="I16" s="99">
        <v>9279177.1763620637</v>
      </c>
      <c r="J16" s="109">
        <v>0.7782</v>
      </c>
      <c r="K16" s="112">
        <v>6.9300000000000004E-3</v>
      </c>
      <c r="L16" s="198">
        <v>5.7549999999999997E-3</v>
      </c>
      <c r="M16" s="199">
        <v>6.4205999999999999E-2</v>
      </c>
      <c r="N16" s="25">
        <v>0.35</v>
      </c>
      <c r="O16" s="73">
        <v>8.7293584306614438</v>
      </c>
      <c r="P16" s="67">
        <v>11.947640830302403</v>
      </c>
      <c r="Q16" s="211"/>
      <c r="R16" s="128"/>
      <c r="S16" s="4"/>
      <c r="U16" s="10"/>
      <c r="V16" s="128"/>
      <c r="W16" s="4"/>
      <c r="Y16" s="10"/>
    </row>
    <row r="17" spans="6:17" ht="14" customHeight="1" x14ac:dyDescent="0.3">
      <c r="G17" s="202" t="s">
        <v>33</v>
      </c>
      <c r="H17" s="203" t="s">
        <v>10</v>
      </c>
      <c r="I17" s="205" t="s">
        <v>28</v>
      </c>
      <c r="J17" s="205" t="s">
        <v>31</v>
      </c>
      <c r="K17" s="205" t="s">
        <v>32</v>
      </c>
      <c r="L17" s="206" t="s">
        <v>13</v>
      </c>
      <c r="M17" s="206" t="s">
        <v>14</v>
      </c>
      <c r="N17" s="207" t="s">
        <v>15</v>
      </c>
      <c r="O17" s="182" t="s">
        <v>18</v>
      </c>
      <c r="P17" s="183" t="s">
        <v>85</v>
      </c>
      <c r="Q17" s="212"/>
    </row>
    <row r="18" spans="6:17" ht="28" customHeight="1" x14ac:dyDescent="0.3">
      <c r="F18" s="143" t="s">
        <v>90</v>
      </c>
      <c r="G18" s="18">
        <v>0</v>
      </c>
      <c r="H18" s="180">
        <v>2.4729999999999999</v>
      </c>
      <c r="I18" s="184">
        <v>6599352.0740520488</v>
      </c>
      <c r="J18" s="185">
        <v>1.5771999999999999</v>
      </c>
      <c r="K18" s="185">
        <v>0.10613</v>
      </c>
      <c r="L18" s="200">
        <v>6.3999999999999997E-5</v>
      </c>
      <c r="M18" s="200">
        <v>-6.0999999999999999E-5</v>
      </c>
      <c r="N18" s="181">
        <v>1</v>
      </c>
      <c r="O18" s="72">
        <v>3.7023823241916078</v>
      </c>
      <c r="P18" s="66">
        <v>22.694405692366992</v>
      </c>
    </row>
    <row r="19" spans="6:17" x14ac:dyDescent="0.3">
      <c r="F19" s="143"/>
      <c r="G19" s="18">
        <v>1</v>
      </c>
      <c r="H19" s="180">
        <v>3.0756999999999999</v>
      </c>
      <c r="I19" s="184">
        <v>7442064.4063748857</v>
      </c>
      <c r="J19" s="185">
        <v>1.7756000000000001</v>
      </c>
      <c r="K19" s="185">
        <v>2.1739999999999999E-2</v>
      </c>
      <c r="L19" s="200">
        <v>2.1354999999999999E-2</v>
      </c>
      <c r="M19" s="200">
        <v>2.173E-3</v>
      </c>
      <c r="N19" s="181">
        <v>0.99990000000000001</v>
      </c>
      <c r="O19" s="72">
        <v>4.349127668847661</v>
      </c>
      <c r="P19" s="66">
        <v>17.74637697162327</v>
      </c>
    </row>
    <row r="20" spans="6:17" x14ac:dyDescent="0.3">
      <c r="F20" s="143"/>
      <c r="G20" s="18">
        <v>2</v>
      </c>
      <c r="H20" s="180">
        <v>3.6783999999999999</v>
      </c>
      <c r="I20" s="184">
        <v>8236011.4786038995</v>
      </c>
      <c r="J20" s="185">
        <v>1.5363</v>
      </c>
      <c r="K20" s="185">
        <v>1.384E-2</v>
      </c>
      <c r="L20" s="200">
        <v>5.203E-2</v>
      </c>
      <c r="M20" s="200">
        <v>3.4489999999999998E-3</v>
      </c>
      <c r="N20" s="181">
        <v>0.99980000000000002</v>
      </c>
      <c r="O20" s="72">
        <v>5.0223743604672695</v>
      </c>
      <c r="P20" s="66">
        <v>14.178834751192309</v>
      </c>
    </row>
    <row r="21" spans="6:17" x14ac:dyDescent="0.3">
      <c r="F21" s="143"/>
      <c r="G21" s="18">
        <v>3</v>
      </c>
      <c r="H21" s="180">
        <v>4.2811000000000003</v>
      </c>
      <c r="I21" s="184">
        <v>8960561.4211137798</v>
      </c>
      <c r="J21" s="185">
        <v>1.2841</v>
      </c>
      <c r="K21" s="185">
        <v>1.0460000000000001E-2</v>
      </c>
      <c r="L21" s="200">
        <v>9.2884999999999995E-2</v>
      </c>
      <c r="M21" s="200">
        <v>4.1999999999999997E-3</v>
      </c>
      <c r="N21" s="181">
        <v>0.99960000000000004</v>
      </c>
      <c r="O21" s="72">
        <v>5.7125828841879684</v>
      </c>
      <c r="P21" s="66">
        <v>11.516931906257984</v>
      </c>
    </row>
    <row r="22" spans="6:17" x14ac:dyDescent="0.3">
      <c r="F22" s="143"/>
      <c r="G22" s="18">
        <v>4</v>
      </c>
      <c r="H22" s="180">
        <v>4.8837999999999999</v>
      </c>
      <c r="I22" s="184">
        <v>9604891.6055384465</v>
      </c>
      <c r="J22" s="185">
        <v>1.0542</v>
      </c>
      <c r="K22" s="185">
        <v>8.4700000000000001E-3</v>
      </c>
      <c r="L22" s="200">
        <v>0.143622</v>
      </c>
      <c r="M22" s="200">
        <v>4.6290000000000003E-3</v>
      </c>
      <c r="N22" s="181">
        <v>0.99919999999999998</v>
      </c>
      <c r="O22" s="72">
        <v>6.4149481045527654</v>
      </c>
      <c r="P22" s="66">
        <v>9.485501345824904</v>
      </c>
    </row>
    <row r="23" spans="6:17" x14ac:dyDescent="0.3">
      <c r="F23" s="143"/>
      <c r="G23" s="18">
        <v>5</v>
      </c>
      <c r="H23" s="180">
        <v>5.4864999999999897</v>
      </c>
      <c r="I23" s="184">
        <v>10164692.891206458</v>
      </c>
      <c r="J23" s="185">
        <v>0.89439999999999997</v>
      </c>
      <c r="K23" s="185">
        <v>7.3699999999999998E-3</v>
      </c>
      <c r="L23" s="200">
        <v>0.200215</v>
      </c>
      <c r="M23" s="200">
        <v>4.8450000000000003E-3</v>
      </c>
      <c r="N23" s="181">
        <v>0.99829999999999997</v>
      </c>
      <c r="O23" s="72">
        <v>7.1282716221510052</v>
      </c>
      <c r="P23" s="66">
        <v>7.9674817950977168</v>
      </c>
    </row>
    <row r="24" spans="6:17" x14ac:dyDescent="0.3">
      <c r="F24" s="143"/>
      <c r="G24" s="18">
        <v>6</v>
      </c>
      <c r="H24" s="180">
        <v>6.0891999999999999</v>
      </c>
      <c r="I24" s="184">
        <v>10644276.932334039</v>
      </c>
      <c r="J24" s="185">
        <v>0.80230000000000001</v>
      </c>
      <c r="K24" s="185">
        <v>6.9100000000000003E-3</v>
      </c>
      <c r="L24" s="200">
        <v>0.242977</v>
      </c>
      <c r="M24" s="200">
        <v>4.9300000000000004E-3</v>
      </c>
      <c r="N24" s="181">
        <v>0.99480000000000002</v>
      </c>
      <c r="O24" s="72">
        <v>7.8574665013879379</v>
      </c>
      <c r="P24" s="66">
        <v>7.109742797862495</v>
      </c>
    </row>
    <row r="25" spans="6:17" x14ac:dyDescent="0.3">
      <c r="F25" s="143"/>
      <c r="G25" s="18">
        <v>7</v>
      </c>
      <c r="H25" s="180">
        <v>6.6918999999999897</v>
      </c>
      <c r="I25" s="184">
        <v>11042120.163547052</v>
      </c>
      <c r="J25" s="185">
        <v>0.78410000000000002</v>
      </c>
      <c r="K25" s="185">
        <v>6.7999999999999996E-3</v>
      </c>
      <c r="L25" s="200">
        <v>0.25642199999999998</v>
      </c>
      <c r="M25" s="200">
        <v>5.0639999999999999E-3</v>
      </c>
      <c r="N25" s="181">
        <v>0.97760000000000002</v>
      </c>
      <c r="O25" s="72">
        <v>8.6039908110955619</v>
      </c>
      <c r="P25" s="66">
        <v>6.9532693983324574</v>
      </c>
    </row>
    <row r="26" spans="6:17" x14ac:dyDescent="0.3">
      <c r="F26" s="143"/>
      <c r="G26" s="18">
        <v>8</v>
      </c>
      <c r="H26" s="180">
        <v>7.2946</v>
      </c>
      <c r="I26" s="184">
        <v>11340808.292849453</v>
      </c>
      <c r="J26" s="185">
        <v>0.79</v>
      </c>
      <c r="K26" s="185">
        <v>6.7999999999999996E-3</v>
      </c>
      <c r="L26" s="200">
        <v>0.26816499999999999</v>
      </c>
      <c r="M26" s="200">
        <v>5.4559999999999999E-3</v>
      </c>
      <c r="N26" s="181">
        <v>0.91649999999999998</v>
      </c>
      <c r="O26" s="72">
        <v>9.3565353293375484</v>
      </c>
      <c r="P26" s="66">
        <v>6.9999094878299246</v>
      </c>
    </row>
    <row r="27" spans="6:17" x14ac:dyDescent="0.3">
      <c r="F27" s="143"/>
      <c r="G27" s="18">
        <v>9</v>
      </c>
      <c r="H27" s="180">
        <v>7.8973000000000004</v>
      </c>
      <c r="I27" s="184">
        <v>11527898.220352009</v>
      </c>
      <c r="J27" s="185">
        <v>0.75029999999999997</v>
      </c>
      <c r="K27" s="185">
        <v>6.6499999999999997E-3</v>
      </c>
      <c r="L27" s="200">
        <v>0.32818000000000003</v>
      </c>
      <c r="M27" s="200">
        <v>6.5319999999999996E-3</v>
      </c>
      <c r="N27" s="181">
        <v>0.75760000000000005</v>
      </c>
      <c r="O27" s="72">
        <v>10.105321260894851</v>
      </c>
      <c r="P27" s="66">
        <v>6.6408817913253753</v>
      </c>
    </row>
    <row r="28" spans="6:17" ht="14.5" thickBot="1" x14ac:dyDescent="0.35">
      <c r="F28" s="143"/>
      <c r="G28" s="19">
        <v>10</v>
      </c>
      <c r="H28" s="20">
        <v>8.5</v>
      </c>
      <c r="I28" s="189">
        <v>11625151.553386167</v>
      </c>
      <c r="J28" s="190">
        <v>0.77149999999999996</v>
      </c>
      <c r="K28" s="190">
        <v>6.7200000000000003E-3</v>
      </c>
      <c r="L28" s="201">
        <v>0.35326999999999997</v>
      </c>
      <c r="M28" s="201">
        <v>7.7229999999999998E-3</v>
      </c>
      <c r="N28" s="95">
        <v>0.6</v>
      </c>
      <c r="O28" s="73">
        <v>10.869944792645438</v>
      </c>
      <c r="P28" s="67">
        <v>6.8340565282960766</v>
      </c>
    </row>
    <row r="29" spans="6:17" ht="14" customHeight="1" x14ac:dyDescent="0.3">
      <c r="G29" s="202" t="s">
        <v>33</v>
      </c>
      <c r="H29" s="203" t="s">
        <v>10</v>
      </c>
      <c r="I29" s="204" t="s">
        <v>28</v>
      </c>
      <c r="J29" s="205" t="s">
        <v>31</v>
      </c>
      <c r="K29" s="205" t="s">
        <v>32</v>
      </c>
      <c r="L29" s="206" t="s">
        <v>13</v>
      </c>
      <c r="M29" s="206" t="s">
        <v>14</v>
      </c>
      <c r="N29" s="207" t="s">
        <v>15</v>
      </c>
      <c r="O29" s="182" t="s">
        <v>18</v>
      </c>
      <c r="P29" s="183" t="s">
        <v>85</v>
      </c>
    </row>
    <row r="30" spans="6:17" ht="28" customHeight="1" x14ac:dyDescent="0.3">
      <c r="F30" s="143" t="s">
        <v>89</v>
      </c>
      <c r="G30" s="18">
        <v>0</v>
      </c>
      <c r="H30" s="180">
        <v>2.4729999999999999</v>
      </c>
      <c r="I30" s="184">
        <v>6879848.085102764</v>
      </c>
      <c r="J30" s="185">
        <v>1.7825</v>
      </c>
      <c r="K30" s="185">
        <v>5.5599999999999997E-2</v>
      </c>
      <c r="L30" s="186">
        <v>6.7874661347280197E-5</v>
      </c>
      <c r="M30" s="187">
        <v>-6.4999999999999994E-5</v>
      </c>
      <c r="N30" s="181">
        <v>1</v>
      </c>
      <c r="O30" s="72">
        <v>3.8597467838638995</v>
      </c>
      <c r="P30" s="66">
        <v>21.20713588201836</v>
      </c>
    </row>
    <row r="31" spans="6:17" x14ac:dyDescent="0.3">
      <c r="F31" s="143"/>
      <c r="G31" s="18">
        <v>1</v>
      </c>
      <c r="H31" s="180">
        <v>3.0756999999999999</v>
      </c>
      <c r="I31" s="184">
        <v>7791707.9357489096</v>
      </c>
      <c r="J31" s="185">
        <v>1.7121</v>
      </c>
      <c r="K31" s="185">
        <v>1.7749999999999998E-2</v>
      </c>
      <c r="L31" s="186">
        <v>2.5108653554850102E-2</v>
      </c>
      <c r="M31" s="187">
        <v>2.1510000000000001E-3</v>
      </c>
      <c r="N31" s="181">
        <v>0.99990000000000001</v>
      </c>
      <c r="O31" s="72">
        <v>4.5534586534776151</v>
      </c>
      <c r="P31" s="66">
        <v>16.353266144774704</v>
      </c>
    </row>
    <row r="32" spans="6:17" x14ac:dyDescent="0.3">
      <c r="F32" s="143"/>
      <c r="G32" s="18">
        <v>2</v>
      </c>
      <c r="H32" s="180">
        <v>3.6783999999999999</v>
      </c>
      <c r="I32" s="184">
        <v>8645048.8794020619</v>
      </c>
      <c r="J32" s="185">
        <v>1.4091</v>
      </c>
      <c r="K32" s="185">
        <v>1.1939999999999999E-2</v>
      </c>
      <c r="L32" s="187">
        <v>6.2981239219644394E-2</v>
      </c>
      <c r="M32" s="187">
        <v>3.4220000000000001E-3</v>
      </c>
      <c r="N32" s="181">
        <v>0.99990000000000001</v>
      </c>
      <c r="O32" s="72">
        <v>5.2718080772096245</v>
      </c>
      <c r="P32" s="66">
        <v>12.823041916325209</v>
      </c>
    </row>
    <row r="33" spans="6:16" x14ac:dyDescent="0.3">
      <c r="F33" s="143"/>
      <c r="G33" s="18">
        <v>3</v>
      </c>
      <c r="H33" s="180">
        <v>4.2811000000000003</v>
      </c>
      <c r="I33" s="184">
        <v>9417914.504316017</v>
      </c>
      <c r="J33" s="185">
        <v>1.1238999999999999</v>
      </c>
      <c r="K33" s="185">
        <v>9.0200000000000002E-3</v>
      </c>
      <c r="L33" s="186">
        <v>0.117859968728471</v>
      </c>
      <c r="M33" s="187">
        <v>4.169E-3</v>
      </c>
      <c r="N33" s="181">
        <v>0.99990000000000001</v>
      </c>
      <c r="O33" s="72">
        <v>6.0041569577695046</v>
      </c>
      <c r="P33" s="66">
        <v>10.088177242650339</v>
      </c>
    </row>
    <row r="34" spans="6:16" x14ac:dyDescent="0.3">
      <c r="F34" s="143"/>
      <c r="G34" s="18">
        <v>4</v>
      </c>
      <c r="H34" s="180">
        <v>4.8837999999999999</v>
      </c>
      <c r="I34" s="184">
        <v>10090762.685617514</v>
      </c>
      <c r="J34" s="185">
        <v>0.85729999999999995</v>
      </c>
      <c r="K34" s="185">
        <v>7.1999999999999998E-3</v>
      </c>
      <c r="L34" s="186">
        <v>0.20613694559027201</v>
      </c>
      <c r="M34" s="187">
        <v>4.5840000000000004E-3</v>
      </c>
      <c r="N34" s="181">
        <v>0.99980000000000002</v>
      </c>
      <c r="O34" s="72">
        <v>6.7394533558575223</v>
      </c>
      <c r="P34" s="66">
        <v>7.626213906057373</v>
      </c>
    </row>
    <row r="35" spans="6:16" x14ac:dyDescent="0.3">
      <c r="F35" s="143"/>
      <c r="G35" s="18">
        <v>5</v>
      </c>
      <c r="H35" s="180">
        <v>5.4864999999999897</v>
      </c>
      <c r="I35" s="184">
        <v>10692109.23114172</v>
      </c>
      <c r="J35" s="185">
        <v>0.7006</v>
      </c>
      <c r="K35" s="185">
        <v>6.5100000000000002E-3</v>
      </c>
      <c r="L35" s="187">
        <v>0.27189329126623701</v>
      </c>
      <c r="M35" s="187">
        <v>4.2180000000000004E-3</v>
      </c>
      <c r="N35" s="181">
        <v>0.99039999999999995</v>
      </c>
      <c r="O35" s="72">
        <v>7.498136896907285</v>
      </c>
      <c r="P35" s="66">
        <v>6.1985796467104759</v>
      </c>
    </row>
    <row r="36" spans="6:16" x14ac:dyDescent="0.3">
      <c r="F36" s="143"/>
      <c r="G36" s="18">
        <v>6</v>
      </c>
      <c r="H36" s="180">
        <v>6.0891999999999999</v>
      </c>
      <c r="I36" s="184">
        <v>11226243.429487934</v>
      </c>
      <c r="J36" s="185">
        <v>0.62949999999999995</v>
      </c>
      <c r="K36" s="185">
        <v>6.2599999999999999E-3</v>
      </c>
      <c r="L36" s="187">
        <v>0.31189329126623699</v>
      </c>
      <c r="M36" s="187">
        <v>5.2789999999999998E-3</v>
      </c>
      <c r="N36" s="181">
        <v>0.97970000000000002</v>
      </c>
      <c r="O36" s="72">
        <v>8.2870665846426395</v>
      </c>
      <c r="P36" s="66">
        <v>5.559260243722365</v>
      </c>
    </row>
    <row r="37" spans="6:16" x14ac:dyDescent="0.3">
      <c r="F37" s="143"/>
      <c r="G37" s="18">
        <v>7</v>
      </c>
      <c r="H37" s="180">
        <v>6.6918999999999897</v>
      </c>
      <c r="I37" s="184">
        <v>11652448.715074174</v>
      </c>
      <c r="J37" s="185">
        <v>0.61870000000000003</v>
      </c>
      <c r="K37" s="185">
        <v>6.2199999999999998E-3</v>
      </c>
      <c r="L37" s="187">
        <v>0.33189329126623701</v>
      </c>
      <c r="M37" s="187">
        <v>5.2620000000000002E-3</v>
      </c>
      <c r="N37" s="181">
        <v>0.96540000000000004</v>
      </c>
      <c r="O37" s="72">
        <v>9.0795572033563907</v>
      </c>
      <c r="P37" s="66">
        <v>5.462799748373909</v>
      </c>
    </row>
    <row r="38" spans="6:16" x14ac:dyDescent="0.3">
      <c r="F38" s="143"/>
      <c r="G38" s="18">
        <v>8</v>
      </c>
      <c r="H38" s="180">
        <v>7.2946</v>
      </c>
      <c r="I38" s="184">
        <v>11975544.908065736</v>
      </c>
      <c r="J38" s="185">
        <v>0.66720000000000002</v>
      </c>
      <c r="K38" s="185">
        <v>6.3499999999999997E-3</v>
      </c>
      <c r="L38" s="186">
        <v>0.321893291266237</v>
      </c>
      <c r="M38" s="187">
        <v>4.9699999999999996E-3</v>
      </c>
      <c r="N38" s="181">
        <v>0.93310000000000004</v>
      </c>
      <c r="O38" s="72">
        <v>9.8802136608758655</v>
      </c>
      <c r="P38" s="66">
        <v>5.8896488123198987</v>
      </c>
    </row>
    <row r="39" spans="6:16" x14ac:dyDescent="0.3">
      <c r="F39" s="143"/>
      <c r="G39" s="18">
        <v>9</v>
      </c>
      <c r="H39" s="180">
        <v>7.8973000000000004</v>
      </c>
      <c r="I39" s="184">
        <v>12168135.138042396</v>
      </c>
      <c r="J39" s="185">
        <v>0.6673</v>
      </c>
      <c r="K39" s="185">
        <v>6.3400000000000001E-3</v>
      </c>
      <c r="L39" s="188">
        <v>0.43176999999999999</v>
      </c>
      <c r="M39" s="188">
        <v>5.9699999999999996E-3</v>
      </c>
      <c r="N39" s="188">
        <v>0.82130000000000003</v>
      </c>
      <c r="O39" s="72">
        <v>10.702834338103852</v>
      </c>
      <c r="P39" s="66">
        <v>7.1358152284369485</v>
      </c>
    </row>
    <row r="40" spans="6:16" ht="14.5" thickBot="1" x14ac:dyDescent="0.35">
      <c r="F40" s="143"/>
      <c r="G40" s="19">
        <v>10</v>
      </c>
      <c r="H40" s="20">
        <v>8.5</v>
      </c>
      <c r="I40" s="189">
        <v>12301161.716246296</v>
      </c>
      <c r="J40" s="190">
        <v>0.76229999999999998</v>
      </c>
      <c r="K40" s="190">
        <v>6.6400000000000001E-3</v>
      </c>
      <c r="L40" s="133">
        <v>0.32481500000000002</v>
      </c>
      <c r="M40" s="133">
        <v>6.6090000000000003E-3</v>
      </c>
      <c r="N40" s="95">
        <v>0.7</v>
      </c>
      <c r="O40" s="73">
        <v>11.51501889466622</v>
      </c>
      <c r="P40" s="67">
        <v>8.095593417616163</v>
      </c>
    </row>
    <row r="41" spans="6:16" x14ac:dyDescent="0.3">
      <c r="G41" s="11" t="s">
        <v>83</v>
      </c>
      <c r="H41" s="11" t="s">
        <v>2</v>
      </c>
      <c r="I41" s="11" t="s">
        <v>82</v>
      </c>
      <c r="J41" s="11" t="s">
        <v>81</v>
      </c>
      <c r="K41" s="11" t="s">
        <v>5</v>
      </c>
    </row>
    <row r="42" spans="6:16" x14ac:dyDescent="0.3">
      <c r="G42" s="4">
        <v>2</v>
      </c>
      <c r="H42" s="3">
        <v>8.8871000000000002E-4</v>
      </c>
      <c r="I42" s="2">
        <v>1025</v>
      </c>
      <c r="J42" s="2">
        <v>8.5</v>
      </c>
      <c r="K42" s="2">
        <v>9</v>
      </c>
    </row>
  </sheetData>
  <mergeCells count="6">
    <mergeCell ref="F30:F40"/>
    <mergeCell ref="G4:J4"/>
    <mergeCell ref="Q4:T4"/>
    <mergeCell ref="U4:V4"/>
    <mergeCell ref="F6:F16"/>
    <mergeCell ref="F18:F2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11DED9B91BE44C8013A26A1E06FDA2" ma:contentTypeVersion="18" ma:contentTypeDescription="Create a new document." ma:contentTypeScope="" ma:versionID="5447faf48a349e00ebf593d4c991adc9">
  <xsd:schema xmlns:xsd="http://www.w3.org/2001/XMLSchema" xmlns:xs="http://www.w3.org/2001/XMLSchema" xmlns:p="http://schemas.microsoft.com/office/2006/metadata/properties" xmlns:ns3="1ac0bed1-a651-4ab3-addc-eea8d667dad6" xmlns:ns4="0dc9e4e4-a892-4dd4-98b1-865ac25722b7" targetNamespace="http://schemas.microsoft.com/office/2006/metadata/properties" ma:root="true" ma:fieldsID="022bace2f65bf93b1c0e9b90fa886cf3" ns3:_="" ns4:_="">
    <xsd:import namespace="1ac0bed1-a651-4ab3-addc-eea8d667dad6"/>
    <xsd:import namespace="0dc9e4e4-a892-4dd4-98b1-865ac25722b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c0bed1-a651-4ab3-addc-eea8d667da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c9e4e4-a892-4dd4-98b1-865ac25722b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ac0bed1-a651-4ab3-addc-eea8d667dad6" xsi:nil="true"/>
  </documentManagement>
</p:properties>
</file>

<file path=customXml/itemProps1.xml><?xml version="1.0" encoding="utf-8"?>
<ds:datastoreItem xmlns:ds="http://schemas.openxmlformats.org/officeDocument/2006/customXml" ds:itemID="{3F39D751-E9E6-4707-8B4E-562A77D2CE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c0bed1-a651-4ab3-addc-eea8d667dad6"/>
    <ds:schemaRef ds:uri="0dc9e4e4-a892-4dd4-98b1-865ac25722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2BEEA0-410D-49BF-837E-7E788CF702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9BB733-6887-46EC-BFB5-8C7DDA6EA7C5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0dc9e4e4-a892-4dd4-98b1-865ac25722b7"/>
    <ds:schemaRef ds:uri="1ac0bed1-a651-4ab3-addc-eea8d667dad6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15ce9348-be2a-462b-8fc0-e1765a9b204a}" enabled="0" method="" siteId="{15ce9348-be2a-462b-8fc0-e1765a9b204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Blade element geometry 8.5m</vt:lpstr>
      <vt:lpstr>w=1.000 (w tiploss)</vt:lpstr>
      <vt:lpstr>w=1.260</vt:lpstr>
      <vt:lpstr>w=1.335</vt:lpstr>
      <vt:lpstr>Summary of 3 calculation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#ZHANG YIXIAO#</dc:creator>
  <cp:lastModifiedBy>#ZHANG YIXIAO#</cp:lastModifiedBy>
  <dcterms:created xsi:type="dcterms:W3CDTF">2025-03-13T07:14:31Z</dcterms:created>
  <dcterms:modified xsi:type="dcterms:W3CDTF">2025-06-27T17:36:16Z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0x0101008711DED9B91BE44C8013A26A1E06FDA2</vt:lpwstr>
  </property>
</Properties>
</file>