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heckCompatibility="1"/>
  <mc:AlternateContent xmlns:mc="http://schemas.openxmlformats.org/markup-compatibility/2006">
    <mc:Choice Requires="x15">
      <x15ac:absPath xmlns:x15ac="http://schemas.microsoft.com/office/spreadsheetml/2010/11/ac" url="C:\Data\MSU\LBM\"/>
    </mc:Choice>
  </mc:AlternateContent>
  <xr:revisionPtr revIDLastSave="0" documentId="13_ncr:1_{D9DED35A-29D2-473B-819F-FAD851A6F1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Март 2018" sheetId="13" r:id="rId1"/>
    <sheet name="Summary" sheetId="4" r:id="rId2"/>
    <sheet name="Таблички" sheetId="12" r:id="rId3"/>
    <sheet name="Cercignani Neudachin" sheetId="11" r:id="rId4"/>
    <sheet name="DSMC" sheetId="2" r:id="rId5"/>
    <sheet name="EDMD - low M" sheetId="6" r:id="rId6"/>
    <sheet name="EDMD - low M (2atm)" sheetId="8" r:id="rId7"/>
    <sheet name="EDMD - medium M" sheetId="7" r:id="rId8"/>
    <sheet name="EDMD - medium M (2atm)" sheetId="9" r:id="rId9"/>
    <sheet name="EDMD - low M (0.2atm)" sheetId="10" r:id="rId10"/>
  </sheets>
  <definedNames>
    <definedName name="_xlnm._FilterDatabase" localSheetId="1" hidden="1">Summary!$C$443:$N$454</definedName>
  </definedNames>
  <calcPr calcId="181029"/>
</workbook>
</file>

<file path=xl/calcChain.xml><?xml version="1.0" encoding="utf-8"?>
<calcChain xmlns="http://schemas.openxmlformats.org/spreadsheetml/2006/main">
  <c r="AY34" i="13" l="1"/>
  <c r="AY35" i="13"/>
  <c r="AY36" i="13"/>
  <c r="AY37" i="13"/>
  <c r="AY33" i="13"/>
  <c r="BB34" i="13"/>
  <c r="BB35" i="13"/>
  <c r="BB36" i="13"/>
  <c r="BB37" i="13"/>
  <c r="BB33" i="13"/>
  <c r="BE13" i="13"/>
  <c r="BD13" i="13"/>
  <c r="BD27" i="13"/>
  <c r="BD26" i="13"/>
  <c r="BD23" i="13"/>
  <c r="BE23" i="13" s="1"/>
  <c r="BH22" i="13"/>
  <c r="BC27" i="13" s="1"/>
  <c r="BE22" i="13"/>
  <c r="BD22" i="13"/>
  <c r="BD21" i="13"/>
  <c r="BE21" i="13" s="1"/>
  <c r="BD20" i="13"/>
  <c r="BE20" i="13" s="1"/>
  <c r="BD19" i="13"/>
  <c r="BE19" i="13" s="1"/>
  <c r="BD18" i="13"/>
  <c r="BE18" i="13" s="1"/>
  <c r="BD17" i="13"/>
  <c r="BE17" i="13" s="1"/>
  <c r="BH16" i="13"/>
  <c r="BC17" i="13" s="1"/>
  <c r="BD16" i="13"/>
  <c r="BE16" i="13" s="1"/>
  <c r="BD15" i="13"/>
  <c r="BE15" i="13" s="1"/>
  <c r="BD14" i="13"/>
  <c r="BE14" i="13" s="1"/>
  <c r="BC20" i="13" l="1"/>
  <c r="BC16" i="13"/>
  <c r="BC21" i="13"/>
  <c r="BC18" i="13"/>
  <c r="BC23" i="13"/>
  <c r="BC15" i="13"/>
  <c r="BC14" i="13"/>
  <c r="BC19" i="13"/>
  <c r="BC26" i="13"/>
  <c r="BC22" i="13"/>
  <c r="AY44" i="13" l="1"/>
  <c r="AY45" i="13"/>
  <c r="AY46" i="13"/>
  <c r="AY47" i="13"/>
  <c r="AY48" i="13"/>
  <c r="AY49" i="13"/>
  <c r="AY50" i="13"/>
  <c r="AY51" i="13"/>
  <c r="AY52" i="13"/>
  <c r="AY43" i="13"/>
  <c r="AI34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28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47" i="13"/>
  <c r="AI61" i="13"/>
  <c r="AI62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47" i="13"/>
  <c r="C35" i="10" l="1"/>
  <c r="C36" i="10" s="1"/>
  <c r="T25" i="10"/>
  <c r="Q25" i="10"/>
  <c r="O25" i="10"/>
  <c r="L25" i="10"/>
  <c r="I25" i="10"/>
  <c r="G25" i="10"/>
  <c r="D25" i="10"/>
  <c r="C24" i="10"/>
  <c r="P25" i="10" s="1"/>
  <c r="E14" i="10"/>
  <c r="E15" i="10" s="1"/>
  <c r="C14" i="10"/>
  <c r="C15" i="10" s="1"/>
  <c r="C10" i="10"/>
  <c r="E4" i="10"/>
  <c r="C3" i="10"/>
  <c r="C1" i="10"/>
  <c r="D14" i="10" s="1"/>
  <c r="D15" i="10" s="1"/>
  <c r="V19" i="9"/>
  <c r="S19" i="9"/>
  <c r="Q19" i="9"/>
  <c r="P19" i="9"/>
  <c r="N19" i="9"/>
  <c r="K19" i="9"/>
  <c r="I19" i="9"/>
  <c r="H19" i="9"/>
  <c r="F19" i="9"/>
  <c r="C19" i="9"/>
  <c r="C18" i="9"/>
  <c r="O19" i="9" s="1"/>
  <c r="P17" i="9"/>
  <c r="C12" i="9"/>
  <c r="C13" i="9" s="1"/>
  <c r="C10" i="9"/>
  <c r="H17" i="9" s="1"/>
  <c r="C9" i="9"/>
  <c r="C3" i="9"/>
  <c r="C4" i="9" s="1"/>
  <c r="C1" i="9"/>
  <c r="V19" i="7"/>
  <c r="S19" i="7"/>
  <c r="P19" i="7"/>
  <c r="N19" i="7"/>
  <c r="K19" i="7"/>
  <c r="H19" i="7"/>
  <c r="F19" i="7"/>
  <c r="C19" i="7"/>
  <c r="C18" i="7"/>
  <c r="O19" i="7" s="1"/>
  <c r="P17" i="7"/>
  <c r="C12" i="7"/>
  <c r="C13" i="7" s="1"/>
  <c r="C10" i="7"/>
  <c r="H17" i="7" s="1"/>
  <c r="C9" i="7"/>
  <c r="C3" i="7"/>
  <c r="C4" i="7" s="1"/>
  <c r="C1" i="7"/>
  <c r="V25" i="8"/>
  <c r="S25" i="8"/>
  <c r="P25" i="8"/>
  <c r="N25" i="8"/>
  <c r="K25" i="8"/>
  <c r="H25" i="8"/>
  <c r="F25" i="8"/>
  <c r="C25" i="8"/>
  <c r="C24" i="8"/>
  <c r="O25" i="8" s="1"/>
  <c r="C10" i="8"/>
  <c r="E4" i="8"/>
  <c r="E11" i="8" s="1"/>
  <c r="C1" i="8"/>
  <c r="D14" i="8" s="1"/>
  <c r="D15" i="8" s="1"/>
  <c r="C36" i="6"/>
  <c r="C35" i="6"/>
  <c r="U25" i="6"/>
  <c r="M25" i="6"/>
  <c r="E25" i="6"/>
  <c r="C24" i="6"/>
  <c r="R25" i="6" s="1"/>
  <c r="C10" i="6"/>
  <c r="E11" i="6" s="1"/>
  <c r="E4" i="6"/>
  <c r="C1" i="6"/>
  <c r="E14" i="6" s="1"/>
  <c r="E15" i="6" s="1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H24" i="11"/>
  <c r="H23" i="11"/>
  <c r="H22" i="11"/>
  <c r="E22" i="11"/>
  <c r="D22" i="11"/>
  <c r="H21" i="11"/>
  <c r="D21" i="11"/>
  <c r="H20" i="11"/>
  <c r="E20" i="11"/>
  <c r="D20" i="11"/>
  <c r="H19" i="11"/>
  <c r="D19" i="11"/>
  <c r="H18" i="11"/>
  <c r="E18" i="11"/>
  <c r="D18" i="11"/>
  <c r="L17" i="11"/>
  <c r="H17" i="11"/>
  <c r="D17" i="11"/>
  <c r="M16" i="11"/>
  <c r="L16" i="11"/>
  <c r="H16" i="11"/>
  <c r="D16" i="11"/>
  <c r="L15" i="11"/>
  <c r="I15" i="11"/>
  <c r="H15" i="11"/>
  <c r="D15" i="11"/>
  <c r="L14" i="11"/>
  <c r="H14" i="11"/>
  <c r="E14" i="11"/>
  <c r="D14" i="11"/>
  <c r="L13" i="11"/>
  <c r="H13" i="11"/>
  <c r="D13" i="11"/>
  <c r="M12" i="11"/>
  <c r="L12" i="11"/>
  <c r="H12" i="11"/>
  <c r="D12" i="11"/>
  <c r="L11" i="11"/>
  <c r="I11" i="11"/>
  <c r="H11" i="11"/>
  <c r="D11" i="11"/>
  <c r="L10" i="11"/>
  <c r="H10" i="11"/>
  <c r="E10" i="11"/>
  <c r="D10" i="11"/>
  <c r="C5" i="11"/>
  <c r="I23" i="11" s="1"/>
  <c r="C4" i="11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D550" i="4"/>
  <c r="G549" i="4"/>
  <c r="F549" i="4"/>
  <c r="E549" i="4"/>
  <c r="G548" i="4"/>
  <c r="F548" i="4"/>
  <c r="E548" i="4"/>
  <c r="G547" i="4"/>
  <c r="F547" i="4"/>
  <c r="E547" i="4"/>
  <c r="F546" i="4"/>
  <c r="E546" i="4"/>
  <c r="I540" i="4"/>
  <c r="G540" i="4"/>
  <c r="I539" i="4"/>
  <c r="G539" i="4"/>
  <c r="D538" i="4"/>
  <c r="J537" i="4"/>
  <c r="D537" i="4"/>
  <c r="J536" i="4"/>
  <c r="D536" i="4"/>
  <c r="J535" i="4"/>
  <c r="D535" i="4"/>
  <c r="K529" i="4"/>
  <c r="J529" i="4"/>
  <c r="I529" i="4"/>
  <c r="H529" i="4"/>
  <c r="G529" i="4"/>
  <c r="F529" i="4"/>
  <c r="E529" i="4"/>
  <c r="D529" i="4"/>
  <c r="B529" i="4"/>
  <c r="K528" i="4"/>
  <c r="I528" i="4"/>
  <c r="H528" i="4"/>
  <c r="G528" i="4"/>
  <c r="F528" i="4"/>
  <c r="E528" i="4"/>
  <c r="D528" i="4"/>
  <c r="B528" i="4"/>
  <c r="K527" i="4"/>
  <c r="J527" i="4"/>
  <c r="I527" i="4"/>
  <c r="H527" i="4"/>
  <c r="G527" i="4"/>
  <c r="F527" i="4"/>
  <c r="E527" i="4"/>
  <c r="D527" i="4"/>
  <c r="B527" i="4"/>
  <c r="I526" i="4"/>
  <c r="H526" i="4"/>
  <c r="G526" i="4"/>
  <c r="F526" i="4"/>
  <c r="E526" i="4"/>
  <c r="D526" i="4"/>
  <c r="B526" i="4"/>
  <c r="K525" i="4"/>
  <c r="I525" i="4"/>
  <c r="H525" i="4"/>
  <c r="G525" i="4"/>
  <c r="F525" i="4"/>
  <c r="E525" i="4"/>
  <c r="D525" i="4"/>
  <c r="B525" i="4"/>
  <c r="K524" i="4"/>
  <c r="J524" i="4"/>
  <c r="I524" i="4"/>
  <c r="H524" i="4"/>
  <c r="G524" i="4"/>
  <c r="F524" i="4"/>
  <c r="E524" i="4"/>
  <c r="D524" i="4"/>
  <c r="B524" i="4"/>
  <c r="K523" i="4"/>
  <c r="J523" i="4"/>
  <c r="I523" i="4"/>
  <c r="H523" i="4"/>
  <c r="G523" i="4"/>
  <c r="F523" i="4"/>
  <c r="E523" i="4"/>
  <c r="D523" i="4"/>
  <c r="B523" i="4"/>
  <c r="K522" i="4"/>
  <c r="H522" i="4"/>
  <c r="G522" i="4"/>
  <c r="F522" i="4"/>
  <c r="E522" i="4"/>
  <c r="D522" i="4"/>
  <c r="B522" i="4"/>
  <c r="K521" i="4"/>
  <c r="J521" i="4"/>
  <c r="I521" i="4"/>
  <c r="H521" i="4"/>
  <c r="G521" i="4"/>
  <c r="F521" i="4"/>
  <c r="E521" i="4"/>
  <c r="D521" i="4"/>
  <c r="B521" i="4"/>
  <c r="J520" i="4"/>
  <c r="F520" i="4"/>
  <c r="E520" i="4"/>
  <c r="D520" i="4"/>
  <c r="B520" i="4"/>
  <c r="E466" i="4"/>
  <c r="E464" i="4"/>
  <c r="I461" i="4"/>
  <c r="L460" i="4"/>
  <c r="G460" i="4"/>
  <c r="G461" i="4" s="1"/>
  <c r="G463" i="4" s="1"/>
  <c r="E459" i="4"/>
  <c r="E460" i="4" s="1"/>
  <c r="E463" i="4" s="1"/>
  <c r="I458" i="4"/>
  <c r="I459" i="4" s="1"/>
  <c r="R454" i="4"/>
  <c r="P454" i="4"/>
  <c r="N454" i="4"/>
  <c r="K454" i="4"/>
  <c r="I454" i="4"/>
  <c r="G454" i="4"/>
  <c r="F454" i="4"/>
  <c r="E454" i="4"/>
  <c r="R453" i="4"/>
  <c r="P453" i="4"/>
  <c r="N453" i="4"/>
  <c r="K453" i="4"/>
  <c r="I453" i="4"/>
  <c r="G453" i="4"/>
  <c r="F453" i="4"/>
  <c r="E453" i="4"/>
  <c r="R452" i="4"/>
  <c r="P452" i="4"/>
  <c r="N452" i="4"/>
  <c r="K452" i="4"/>
  <c r="I452" i="4"/>
  <c r="G452" i="4"/>
  <c r="F452" i="4"/>
  <c r="E452" i="4"/>
  <c r="R451" i="4"/>
  <c r="P451" i="4"/>
  <c r="N451" i="4"/>
  <c r="K451" i="4"/>
  <c r="I451" i="4"/>
  <c r="G451" i="4"/>
  <c r="F451" i="4"/>
  <c r="E451" i="4"/>
  <c r="R450" i="4"/>
  <c r="P450" i="4"/>
  <c r="N450" i="4"/>
  <c r="K450" i="4"/>
  <c r="I450" i="4"/>
  <c r="G450" i="4"/>
  <c r="F450" i="4"/>
  <c r="E450" i="4"/>
  <c r="R449" i="4"/>
  <c r="P449" i="4"/>
  <c r="N449" i="4"/>
  <c r="K449" i="4"/>
  <c r="I449" i="4"/>
  <c r="G449" i="4"/>
  <c r="F449" i="4"/>
  <c r="E449" i="4"/>
  <c r="R448" i="4"/>
  <c r="P448" i="4"/>
  <c r="N448" i="4"/>
  <c r="K448" i="4"/>
  <c r="I448" i="4"/>
  <c r="G448" i="4"/>
  <c r="F448" i="4"/>
  <c r="E448" i="4"/>
  <c r="R447" i="4"/>
  <c r="P447" i="4"/>
  <c r="N447" i="4"/>
  <c r="K447" i="4"/>
  <c r="I447" i="4"/>
  <c r="G447" i="4"/>
  <c r="F447" i="4"/>
  <c r="E447" i="4"/>
  <c r="R446" i="4"/>
  <c r="P446" i="4"/>
  <c r="N446" i="4"/>
  <c r="K446" i="4"/>
  <c r="I446" i="4"/>
  <c r="G446" i="4"/>
  <c r="F446" i="4"/>
  <c r="E446" i="4"/>
  <c r="R445" i="4"/>
  <c r="P445" i="4"/>
  <c r="N445" i="4"/>
  <c r="K445" i="4"/>
  <c r="I445" i="4"/>
  <c r="G445" i="4"/>
  <c r="F445" i="4"/>
  <c r="E445" i="4"/>
  <c r="R444" i="4"/>
  <c r="P444" i="4"/>
  <c r="N444" i="4"/>
  <c r="K444" i="4"/>
  <c r="I444" i="4"/>
  <c r="G444" i="4"/>
  <c r="F444" i="4"/>
  <c r="E444" i="4"/>
  <c r="R443" i="4"/>
  <c r="P443" i="4"/>
  <c r="N443" i="4"/>
  <c r="K443" i="4"/>
  <c r="I443" i="4"/>
  <c r="G443" i="4"/>
  <c r="F443" i="4"/>
  <c r="E443" i="4"/>
  <c r="AI431" i="4"/>
  <c r="AH431" i="4"/>
  <c r="AF431" i="4"/>
  <c r="AK431" i="4" s="1"/>
  <c r="AD429" i="4"/>
  <c r="X429" i="4"/>
  <c r="X428" i="4"/>
  <c r="X427" i="4"/>
  <c r="AB426" i="4"/>
  <c r="K426" i="4"/>
  <c r="I426" i="4"/>
  <c r="G426" i="4"/>
  <c r="F426" i="4"/>
  <c r="E426" i="4"/>
  <c r="AF425" i="4"/>
  <c r="Z425" i="4"/>
  <c r="K425" i="4"/>
  <c r="I425" i="4"/>
  <c r="G425" i="4"/>
  <c r="F425" i="4"/>
  <c r="E425" i="4"/>
  <c r="AD424" i="4"/>
  <c r="Z424" i="4"/>
  <c r="K424" i="4"/>
  <c r="I424" i="4"/>
  <c r="G424" i="4"/>
  <c r="F424" i="4"/>
  <c r="E424" i="4"/>
  <c r="X423" i="4"/>
  <c r="K423" i="4"/>
  <c r="I423" i="4"/>
  <c r="G423" i="4"/>
  <c r="F423" i="4"/>
  <c r="E423" i="4"/>
  <c r="K422" i="4"/>
  <c r="I422" i="4"/>
  <c r="G422" i="4"/>
  <c r="F422" i="4"/>
  <c r="E422" i="4"/>
  <c r="AF421" i="4"/>
  <c r="Z421" i="4"/>
  <c r="K421" i="4"/>
  <c r="I421" i="4"/>
  <c r="G421" i="4"/>
  <c r="F421" i="4"/>
  <c r="E421" i="4"/>
  <c r="Z420" i="4"/>
  <c r="K420" i="4"/>
  <c r="I420" i="4"/>
  <c r="G420" i="4"/>
  <c r="F420" i="4"/>
  <c r="E420" i="4"/>
  <c r="AD419" i="4"/>
  <c r="X419" i="4"/>
  <c r="K419" i="4"/>
  <c r="I419" i="4"/>
  <c r="G419" i="4"/>
  <c r="F419" i="4"/>
  <c r="E419" i="4"/>
  <c r="AB418" i="4"/>
  <c r="K418" i="4"/>
  <c r="I418" i="4"/>
  <c r="G418" i="4"/>
  <c r="F418" i="4"/>
  <c r="E418" i="4"/>
  <c r="AF416" i="4"/>
  <c r="AF429" i="4" s="1"/>
  <c r="AD416" i="4"/>
  <c r="AB416" i="4"/>
  <c r="AB429" i="4" s="1"/>
  <c r="Z416" i="4"/>
  <c r="Z429" i="4" s="1"/>
  <c r="X416" i="4"/>
  <c r="U416" i="4"/>
  <c r="T416" i="4"/>
  <c r="R416" i="4"/>
  <c r="P416" i="4"/>
  <c r="N416" i="4"/>
  <c r="K416" i="4"/>
  <c r="I416" i="4"/>
  <c r="G416" i="4"/>
  <c r="F416" i="4"/>
  <c r="E416" i="4"/>
  <c r="AF415" i="4"/>
  <c r="AF428" i="4" s="1"/>
  <c r="AD415" i="4"/>
  <c r="AD428" i="4" s="1"/>
  <c r="AB415" i="4"/>
  <c r="AB428" i="4" s="1"/>
  <c r="Z415" i="4"/>
  <c r="Z428" i="4" s="1"/>
  <c r="X415" i="4"/>
  <c r="U415" i="4"/>
  <c r="T415" i="4"/>
  <c r="R415" i="4"/>
  <c r="P415" i="4"/>
  <c r="N415" i="4"/>
  <c r="K415" i="4"/>
  <c r="I415" i="4"/>
  <c r="G415" i="4"/>
  <c r="F415" i="4"/>
  <c r="E415" i="4"/>
  <c r="AF414" i="4"/>
  <c r="AF427" i="4" s="1"/>
  <c r="AD414" i="4"/>
  <c r="AD427" i="4" s="1"/>
  <c r="AB414" i="4"/>
  <c r="AB427" i="4" s="1"/>
  <c r="Z414" i="4"/>
  <c r="Z427" i="4" s="1"/>
  <c r="X414" i="4"/>
  <c r="U414" i="4"/>
  <c r="T414" i="4"/>
  <c r="R414" i="4"/>
  <c r="P414" i="4"/>
  <c r="N414" i="4"/>
  <c r="K414" i="4"/>
  <c r="I414" i="4"/>
  <c r="G414" i="4"/>
  <c r="F414" i="4"/>
  <c r="E414" i="4"/>
  <c r="AF413" i="4"/>
  <c r="AF426" i="4" s="1"/>
  <c r="AD413" i="4"/>
  <c r="AD426" i="4" s="1"/>
  <c r="AB413" i="4"/>
  <c r="Z413" i="4"/>
  <c r="Z426" i="4" s="1"/>
  <c r="X413" i="4"/>
  <c r="X426" i="4" s="1"/>
  <c r="U413" i="4"/>
  <c r="T413" i="4"/>
  <c r="R413" i="4"/>
  <c r="P413" i="4"/>
  <c r="N413" i="4"/>
  <c r="K413" i="4"/>
  <c r="I413" i="4"/>
  <c r="G413" i="4"/>
  <c r="F413" i="4"/>
  <c r="E413" i="4"/>
  <c r="AF412" i="4"/>
  <c r="AD412" i="4"/>
  <c r="AD425" i="4" s="1"/>
  <c r="AB412" i="4"/>
  <c r="AB425" i="4" s="1"/>
  <c r="Z412" i="4"/>
  <c r="X412" i="4"/>
  <c r="X425" i="4" s="1"/>
  <c r="U412" i="4"/>
  <c r="T412" i="4"/>
  <c r="R412" i="4"/>
  <c r="P412" i="4"/>
  <c r="N412" i="4"/>
  <c r="K412" i="4"/>
  <c r="I412" i="4"/>
  <c r="G412" i="4"/>
  <c r="F412" i="4"/>
  <c r="E412" i="4"/>
  <c r="AF411" i="4"/>
  <c r="AF424" i="4" s="1"/>
  <c r="AD411" i="4"/>
  <c r="AB411" i="4"/>
  <c r="AB424" i="4" s="1"/>
  <c r="Z411" i="4"/>
  <c r="X411" i="4"/>
  <c r="X424" i="4" s="1"/>
  <c r="U411" i="4"/>
  <c r="T411" i="4"/>
  <c r="R411" i="4"/>
  <c r="P411" i="4"/>
  <c r="N411" i="4"/>
  <c r="K411" i="4"/>
  <c r="I411" i="4"/>
  <c r="G411" i="4"/>
  <c r="F411" i="4"/>
  <c r="E411" i="4"/>
  <c r="AF410" i="4"/>
  <c r="AF423" i="4" s="1"/>
  <c r="AD410" i="4"/>
  <c r="AD423" i="4" s="1"/>
  <c r="AB410" i="4"/>
  <c r="AB423" i="4" s="1"/>
  <c r="Z410" i="4"/>
  <c r="Z423" i="4" s="1"/>
  <c r="X410" i="4"/>
  <c r="U410" i="4"/>
  <c r="T410" i="4"/>
  <c r="R410" i="4"/>
  <c r="P410" i="4"/>
  <c r="N410" i="4"/>
  <c r="K410" i="4"/>
  <c r="I410" i="4"/>
  <c r="G410" i="4"/>
  <c r="F410" i="4"/>
  <c r="E410" i="4"/>
  <c r="AF409" i="4"/>
  <c r="AF422" i="4" s="1"/>
  <c r="AD409" i="4"/>
  <c r="AD422" i="4" s="1"/>
  <c r="AB409" i="4"/>
  <c r="AB422" i="4" s="1"/>
  <c r="Z409" i="4"/>
  <c r="Z422" i="4" s="1"/>
  <c r="X409" i="4"/>
  <c r="X422" i="4" s="1"/>
  <c r="U409" i="4"/>
  <c r="T409" i="4"/>
  <c r="R409" i="4"/>
  <c r="P409" i="4"/>
  <c r="N409" i="4"/>
  <c r="K409" i="4"/>
  <c r="I409" i="4"/>
  <c r="G409" i="4"/>
  <c r="F409" i="4"/>
  <c r="E409" i="4"/>
  <c r="AF408" i="4"/>
  <c r="AD408" i="4"/>
  <c r="AD421" i="4" s="1"/>
  <c r="AB408" i="4"/>
  <c r="AB421" i="4" s="1"/>
  <c r="Z408" i="4"/>
  <c r="X408" i="4"/>
  <c r="X421" i="4" s="1"/>
  <c r="U408" i="4"/>
  <c r="T408" i="4"/>
  <c r="R408" i="4"/>
  <c r="P408" i="4"/>
  <c r="N408" i="4"/>
  <c r="K408" i="4"/>
  <c r="I408" i="4"/>
  <c r="G408" i="4"/>
  <c r="F408" i="4"/>
  <c r="E408" i="4"/>
  <c r="AF407" i="4"/>
  <c r="AF420" i="4" s="1"/>
  <c r="AD407" i="4"/>
  <c r="AD420" i="4" s="1"/>
  <c r="AB407" i="4"/>
  <c r="AB420" i="4" s="1"/>
  <c r="Z407" i="4"/>
  <c r="X407" i="4"/>
  <c r="X420" i="4" s="1"/>
  <c r="U407" i="4"/>
  <c r="T407" i="4"/>
  <c r="R407" i="4"/>
  <c r="P407" i="4"/>
  <c r="N407" i="4"/>
  <c r="K407" i="4"/>
  <c r="I407" i="4"/>
  <c r="G407" i="4"/>
  <c r="F407" i="4"/>
  <c r="E407" i="4"/>
  <c r="AF406" i="4"/>
  <c r="AF419" i="4" s="1"/>
  <c r="AD406" i="4"/>
  <c r="AB406" i="4"/>
  <c r="AB419" i="4" s="1"/>
  <c r="Z406" i="4"/>
  <c r="Z419" i="4" s="1"/>
  <c r="X406" i="4"/>
  <c r="U406" i="4"/>
  <c r="T406" i="4"/>
  <c r="R406" i="4"/>
  <c r="P406" i="4"/>
  <c r="N406" i="4"/>
  <c r="K406" i="4"/>
  <c r="I406" i="4"/>
  <c r="G406" i="4"/>
  <c r="F406" i="4"/>
  <c r="E406" i="4"/>
  <c r="AF405" i="4"/>
  <c r="AF418" i="4" s="1"/>
  <c r="AD405" i="4"/>
  <c r="AD418" i="4" s="1"/>
  <c r="AB405" i="4"/>
  <c r="Z405" i="4"/>
  <c r="Z418" i="4" s="1"/>
  <c r="X405" i="4"/>
  <c r="X418" i="4" s="1"/>
  <c r="U405" i="4"/>
  <c r="T405" i="4"/>
  <c r="R405" i="4"/>
  <c r="P405" i="4"/>
  <c r="N405" i="4"/>
  <c r="K405" i="4"/>
  <c r="I405" i="4"/>
  <c r="G405" i="4"/>
  <c r="F405" i="4"/>
  <c r="E405" i="4"/>
  <c r="N401" i="4"/>
  <c r="K401" i="4"/>
  <c r="I401" i="4"/>
  <c r="G401" i="4"/>
  <c r="F401" i="4"/>
  <c r="E401" i="4"/>
  <c r="N400" i="4"/>
  <c r="K400" i="4"/>
  <c r="I400" i="4"/>
  <c r="G400" i="4"/>
  <c r="F400" i="4"/>
  <c r="E400" i="4"/>
  <c r="N399" i="4"/>
  <c r="K399" i="4"/>
  <c r="I399" i="4"/>
  <c r="G399" i="4"/>
  <c r="F399" i="4"/>
  <c r="E399" i="4"/>
  <c r="N398" i="4"/>
  <c r="K398" i="4"/>
  <c r="I398" i="4"/>
  <c r="G398" i="4"/>
  <c r="F398" i="4"/>
  <c r="E398" i="4"/>
  <c r="N397" i="4"/>
  <c r="K397" i="4"/>
  <c r="I397" i="4"/>
  <c r="G397" i="4"/>
  <c r="F397" i="4"/>
  <c r="E397" i="4"/>
  <c r="N396" i="4"/>
  <c r="K396" i="4"/>
  <c r="I396" i="4"/>
  <c r="G396" i="4"/>
  <c r="F396" i="4"/>
  <c r="E396" i="4"/>
  <c r="N395" i="4"/>
  <c r="K395" i="4"/>
  <c r="I395" i="4"/>
  <c r="G395" i="4"/>
  <c r="F395" i="4"/>
  <c r="E395" i="4"/>
  <c r="N394" i="4"/>
  <c r="K394" i="4"/>
  <c r="I394" i="4"/>
  <c r="G394" i="4"/>
  <c r="F394" i="4"/>
  <c r="E394" i="4"/>
  <c r="N393" i="4"/>
  <c r="K393" i="4"/>
  <c r="I393" i="4"/>
  <c r="G393" i="4"/>
  <c r="F393" i="4"/>
  <c r="E393" i="4"/>
  <c r="N392" i="4"/>
  <c r="K392" i="4"/>
  <c r="I392" i="4"/>
  <c r="G392" i="4"/>
  <c r="F392" i="4"/>
  <c r="E392" i="4"/>
  <c r="I301" i="4"/>
  <c r="F301" i="4" s="1"/>
  <c r="E301" i="4"/>
  <c r="I300" i="4"/>
  <c r="F300" i="4" s="1"/>
  <c r="E300" i="4"/>
  <c r="I299" i="4"/>
  <c r="F299" i="4"/>
  <c r="E299" i="4"/>
  <c r="I298" i="4"/>
  <c r="F298" i="4"/>
  <c r="E298" i="4"/>
  <c r="E297" i="4"/>
  <c r="E296" i="4"/>
  <c r="E295" i="4"/>
  <c r="E294" i="4"/>
  <c r="E293" i="4"/>
  <c r="E292" i="4"/>
  <c r="BP286" i="4"/>
  <c r="BQ286" i="4" s="1"/>
  <c r="BL286" i="4"/>
  <c r="BB286" i="4"/>
  <c r="AT286" i="4"/>
  <c r="BA286" i="4" s="1"/>
  <c r="AR286" i="4"/>
  <c r="AQ286" i="4"/>
  <c r="AM286" i="4"/>
  <c r="AL286" i="4"/>
  <c r="AN286" i="4" s="1"/>
  <c r="AK286" i="4"/>
  <c r="W286" i="4"/>
  <c r="C286" i="4"/>
  <c r="D286" i="4" s="1"/>
  <c r="BP285" i="4"/>
  <c r="BA285" i="4"/>
  <c r="AT285" i="4"/>
  <c r="AQ285" i="4"/>
  <c r="BL285" i="4" s="1"/>
  <c r="AL285" i="4"/>
  <c r="AK285" i="4"/>
  <c r="W285" i="4"/>
  <c r="C285" i="4"/>
  <c r="D285" i="4" s="1"/>
  <c r="BQ284" i="4"/>
  <c r="BP284" i="4"/>
  <c r="BL284" i="4"/>
  <c r="AT284" i="4"/>
  <c r="BA284" i="4" s="1"/>
  <c r="AQ284" i="4"/>
  <c r="AN284" i="4"/>
  <c r="AL284" i="4"/>
  <c r="AR284" i="4" s="1"/>
  <c r="BB284" i="4" s="1"/>
  <c r="AK284" i="4"/>
  <c r="W284" i="4"/>
  <c r="D284" i="4"/>
  <c r="C284" i="4"/>
  <c r="BP283" i="4"/>
  <c r="BQ283" i="4" s="1"/>
  <c r="BL283" i="4"/>
  <c r="BA283" i="4"/>
  <c r="AT283" i="4"/>
  <c r="AR283" i="4"/>
  <c r="BB283" i="4" s="1"/>
  <c r="AQ283" i="4"/>
  <c r="AM283" i="4"/>
  <c r="AL283" i="4"/>
  <c r="AK283" i="4"/>
  <c r="W283" i="4"/>
  <c r="C283" i="4"/>
  <c r="D283" i="4" s="1"/>
  <c r="BP282" i="4"/>
  <c r="BQ282" i="4" s="1"/>
  <c r="AT282" i="4"/>
  <c r="BA282" i="4" s="1"/>
  <c r="AQ282" i="4"/>
  <c r="BL282" i="4" s="1"/>
  <c r="AL282" i="4"/>
  <c r="AK282" i="4"/>
  <c r="W282" i="4"/>
  <c r="D282" i="4"/>
  <c r="C282" i="4"/>
  <c r="BQ281" i="4"/>
  <c r="BP281" i="4"/>
  <c r="BB281" i="4"/>
  <c r="AT281" i="4"/>
  <c r="BA281" i="4" s="1"/>
  <c r="AR281" i="4"/>
  <c r="AQ281" i="4"/>
  <c r="BL281" i="4" s="1"/>
  <c r="AN281" i="4"/>
  <c r="AL281" i="4"/>
  <c r="AM281" i="4" s="1"/>
  <c r="AK281" i="4"/>
  <c r="W281" i="4"/>
  <c r="C281" i="4"/>
  <c r="D281" i="4" s="1"/>
  <c r="BP280" i="4"/>
  <c r="BQ280" i="4" s="1"/>
  <c r="BA280" i="4"/>
  <c r="AT280" i="4"/>
  <c r="AQ280" i="4"/>
  <c r="BL280" i="4" s="1"/>
  <c r="AL280" i="4"/>
  <c r="AK280" i="4"/>
  <c r="W280" i="4"/>
  <c r="D280" i="4"/>
  <c r="C280" i="4"/>
  <c r="BP279" i="4"/>
  <c r="BQ279" i="4" s="1"/>
  <c r="BL279" i="4"/>
  <c r="AT279" i="4"/>
  <c r="BA279" i="4" s="1"/>
  <c r="AQ279" i="4"/>
  <c r="AL279" i="4"/>
  <c r="AK279" i="4"/>
  <c r="W279" i="4"/>
  <c r="C279" i="4"/>
  <c r="D279" i="4" s="1"/>
  <c r="AQ277" i="4"/>
  <c r="R277" i="4"/>
  <c r="S277" i="4" s="1"/>
  <c r="Q277" i="4"/>
  <c r="AQ276" i="4"/>
  <c r="S276" i="4"/>
  <c r="R276" i="4"/>
  <c r="Q276" i="4"/>
  <c r="AQ275" i="4"/>
  <c r="R275" i="4"/>
  <c r="Q275" i="4"/>
  <c r="AQ274" i="4"/>
  <c r="S274" i="4"/>
  <c r="R274" i="4"/>
  <c r="Q274" i="4"/>
  <c r="AQ273" i="4"/>
  <c r="AL273" i="4"/>
  <c r="AK273" i="4"/>
  <c r="W273" i="4"/>
  <c r="R273" i="4"/>
  <c r="Q273" i="4"/>
  <c r="D273" i="4"/>
  <c r="AQ272" i="4"/>
  <c r="AN272" i="4"/>
  <c r="AM272" i="4"/>
  <c r="AL272" i="4"/>
  <c r="AK272" i="4"/>
  <c r="W272" i="4"/>
  <c r="CA272" i="4" s="1"/>
  <c r="R272" i="4"/>
  <c r="Q272" i="4"/>
  <c r="D272" i="4"/>
  <c r="AQ271" i="4"/>
  <c r="AL271" i="4"/>
  <c r="AM271" i="4" s="1"/>
  <c r="AK271" i="4"/>
  <c r="X271" i="4"/>
  <c r="W271" i="4"/>
  <c r="R271" i="4"/>
  <c r="Q271" i="4"/>
  <c r="D271" i="4"/>
  <c r="AQ270" i="4"/>
  <c r="AN270" i="4"/>
  <c r="AM270" i="4"/>
  <c r="AL270" i="4"/>
  <c r="AK270" i="4"/>
  <c r="W270" i="4"/>
  <c r="CA270" i="4" s="1"/>
  <c r="R270" i="4"/>
  <c r="S270" i="4" s="1"/>
  <c r="Q270" i="4"/>
  <c r="D270" i="4"/>
  <c r="BP269" i="4"/>
  <c r="BQ269" i="4" s="1"/>
  <c r="AT269" i="4"/>
  <c r="AR269" i="4"/>
  <c r="AQ269" i="4"/>
  <c r="BL269" i="4" s="1"/>
  <c r="AN269" i="4"/>
  <c r="AL269" i="4"/>
  <c r="AM269" i="4" s="1"/>
  <c r="AK269" i="4"/>
  <c r="W269" i="4"/>
  <c r="CA269" i="4" s="1"/>
  <c r="R269" i="4"/>
  <c r="Q269" i="4"/>
  <c r="D269" i="4"/>
  <c r="BQ268" i="4"/>
  <c r="BP268" i="4"/>
  <c r="AT268" i="4"/>
  <c r="AQ268" i="4"/>
  <c r="BL268" i="4" s="1"/>
  <c r="AL268" i="4"/>
  <c r="AK268" i="4"/>
  <c r="W268" i="4"/>
  <c r="CA268" i="4" s="1"/>
  <c r="S268" i="4"/>
  <c r="R268" i="4"/>
  <c r="X268" i="4" s="1"/>
  <c r="Q268" i="4"/>
  <c r="D268" i="4"/>
  <c r="CA267" i="4"/>
  <c r="BP267" i="4"/>
  <c r="BL267" i="4"/>
  <c r="BA267" i="4"/>
  <c r="AT267" i="4"/>
  <c r="AQ267" i="4"/>
  <c r="AL267" i="4"/>
  <c r="AK267" i="4"/>
  <c r="X267" i="4"/>
  <c r="W267" i="4"/>
  <c r="R267" i="4"/>
  <c r="S267" i="4" s="1"/>
  <c r="Q267" i="4"/>
  <c r="D267" i="4"/>
  <c r="CA266" i="4"/>
  <c r="BQ266" i="4"/>
  <c r="BP266" i="4"/>
  <c r="AT266" i="4"/>
  <c r="AR266" i="4"/>
  <c r="AP266" i="4"/>
  <c r="AO266" i="4"/>
  <c r="AQ266" i="4" s="1"/>
  <c r="BL266" i="4" s="1"/>
  <c r="AN266" i="4"/>
  <c r="AM266" i="4"/>
  <c r="AL266" i="4"/>
  <c r="AK266" i="4"/>
  <c r="X266" i="4"/>
  <c r="W266" i="4"/>
  <c r="R266" i="4"/>
  <c r="Q266" i="4"/>
  <c r="D266" i="4"/>
  <c r="BP265" i="4"/>
  <c r="BQ265" i="4" s="1"/>
  <c r="BA265" i="4"/>
  <c r="AT265" i="4"/>
  <c r="AR265" i="4"/>
  <c r="BB265" i="4" s="1"/>
  <c r="AP265" i="4"/>
  <c r="AO265" i="4"/>
  <c r="AQ265" i="4" s="1"/>
  <c r="BL265" i="4" s="1"/>
  <c r="AL265" i="4"/>
  <c r="AK265" i="4"/>
  <c r="X265" i="4"/>
  <c r="W265" i="4"/>
  <c r="CA265" i="4" s="1"/>
  <c r="R265" i="4"/>
  <c r="S265" i="4" s="1"/>
  <c r="Q265" i="4"/>
  <c r="D265" i="4"/>
  <c r="CA264" i="4"/>
  <c r="BQ264" i="4"/>
  <c r="BP264" i="4"/>
  <c r="BA264" i="4"/>
  <c r="AT264" i="4"/>
  <c r="AQ264" i="4"/>
  <c r="BL264" i="4" s="1"/>
  <c r="AN264" i="4"/>
  <c r="AM264" i="4"/>
  <c r="AL264" i="4"/>
  <c r="AR264" i="4" s="1"/>
  <c r="BB264" i="4" s="1"/>
  <c r="AK264" i="4"/>
  <c r="X264" i="4"/>
  <c r="W264" i="4"/>
  <c r="R264" i="4"/>
  <c r="S264" i="4" s="1"/>
  <c r="Q264" i="4"/>
  <c r="D264" i="4"/>
  <c r="CE263" i="4"/>
  <c r="BQ263" i="4"/>
  <c r="BP263" i="4"/>
  <c r="BB263" i="4"/>
  <c r="AT263" i="4"/>
  <c r="BA263" i="4" s="1"/>
  <c r="AQ263" i="4"/>
  <c r="AR263" i="4" s="1"/>
  <c r="AN263" i="4"/>
  <c r="AL263" i="4"/>
  <c r="AM263" i="4" s="1"/>
  <c r="AK263" i="4"/>
  <c r="W263" i="4"/>
  <c r="CA263" i="4" s="1"/>
  <c r="R263" i="4"/>
  <c r="Q263" i="4"/>
  <c r="D263" i="4"/>
  <c r="CE262" i="4"/>
  <c r="CA262" i="4"/>
  <c r="BP262" i="4"/>
  <c r="BQ262" i="4" s="1"/>
  <c r="BA262" i="4"/>
  <c r="AT262" i="4"/>
  <c r="AQ262" i="4"/>
  <c r="BL262" i="4" s="1"/>
  <c r="AN262" i="4"/>
  <c r="AM262" i="4"/>
  <c r="AL262" i="4"/>
  <c r="AR262" i="4" s="1"/>
  <c r="BB262" i="4" s="1"/>
  <c r="AK262" i="4"/>
  <c r="X262" i="4"/>
  <c r="W262" i="4"/>
  <c r="R262" i="4"/>
  <c r="Q262" i="4"/>
  <c r="D262" i="4"/>
  <c r="BS259" i="4"/>
  <c r="BQ285" i="4" s="1"/>
  <c r="Z258" i="4"/>
  <c r="F258" i="4"/>
  <c r="E258" i="4"/>
  <c r="D258" i="4"/>
  <c r="Z257" i="4"/>
  <c r="D257" i="4"/>
  <c r="E257" i="4" s="1"/>
  <c r="AE256" i="4"/>
  <c r="Z256" i="4"/>
  <c r="W256" i="4"/>
  <c r="D256" i="4"/>
  <c r="E256" i="4" s="1"/>
  <c r="AE255" i="4"/>
  <c r="Z255" i="4"/>
  <c r="W255" i="4"/>
  <c r="N255" i="4"/>
  <c r="E255" i="4"/>
  <c r="D255" i="4"/>
  <c r="AE254" i="4"/>
  <c r="Z254" i="4"/>
  <c r="W254" i="4"/>
  <c r="D254" i="4"/>
  <c r="E254" i="4" s="1"/>
  <c r="Q254" i="4" s="1"/>
  <c r="BU253" i="4"/>
  <c r="BT253" i="4"/>
  <c r="BV253" i="4" s="1"/>
  <c r="AE253" i="4"/>
  <c r="Z253" i="4"/>
  <c r="W253" i="4"/>
  <c r="D253" i="4"/>
  <c r="E253" i="4" s="1"/>
  <c r="BU252" i="4"/>
  <c r="BT252" i="4"/>
  <c r="BV252" i="4" s="1"/>
  <c r="AE252" i="4"/>
  <c r="Z252" i="4"/>
  <c r="W252" i="4"/>
  <c r="F252" i="4"/>
  <c r="E252" i="4"/>
  <c r="D252" i="4"/>
  <c r="BV251" i="4"/>
  <c r="BU251" i="4"/>
  <c r="BT251" i="4"/>
  <c r="AE251" i="4"/>
  <c r="Z251" i="4"/>
  <c r="W251" i="4"/>
  <c r="E251" i="4"/>
  <c r="N251" i="4" s="1"/>
  <c r="D251" i="4"/>
  <c r="CE249" i="4"/>
  <c r="BU249" i="4"/>
  <c r="BV249" i="4" s="1"/>
  <c r="BT249" i="4"/>
  <c r="AE249" i="4"/>
  <c r="Z249" i="4"/>
  <c r="W249" i="4"/>
  <c r="P249" i="4"/>
  <c r="F249" i="4"/>
  <c r="E249" i="4"/>
  <c r="D249" i="4"/>
  <c r="CE248" i="4"/>
  <c r="BU248" i="4"/>
  <c r="BV248" i="4" s="1"/>
  <c r="BT248" i="4"/>
  <c r="AE248" i="4"/>
  <c r="Z248" i="4"/>
  <c r="W248" i="4"/>
  <c r="P248" i="4"/>
  <c r="E248" i="4"/>
  <c r="N248" i="4" s="1"/>
  <c r="D248" i="4"/>
  <c r="CE247" i="4"/>
  <c r="BU247" i="4"/>
  <c r="BV247" i="4" s="1"/>
  <c r="BT247" i="4"/>
  <c r="AE247" i="4"/>
  <c r="AC247" i="4"/>
  <c r="Z247" i="4"/>
  <c r="W247" i="4"/>
  <c r="Q247" i="4"/>
  <c r="P247" i="4"/>
  <c r="D247" i="4"/>
  <c r="E247" i="4" s="1"/>
  <c r="CE246" i="4"/>
  <c r="BU246" i="4"/>
  <c r="BT246" i="4"/>
  <c r="AE246" i="4"/>
  <c r="AC246" i="4"/>
  <c r="Z246" i="4"/>
  <c r="W246" i="4"/>
  <c r="P246" i="4"/>
  <c r="N246" i="4"/>
  <c r="J246" i="4"/>
  <c r="L246" i="4" s="1"/>
  <c r="I246" i="4"/>
  <c r="G246" i="4"/>
  <c r="F246" i="4"/>
  <c r="D246" i="4"/>
  <c r="E246" i="4" s="1"/>
  <c r="CE245" i="4"/>
  <c r="BU245" i="4"/>
  <c r="BT245" i="4"/>
  <c r="BV245" i="4" s="1"/>
  <c r="AE245" i="4"/>
  <c r="AC245" i="4"/>
  <c r="W245" i="4"/>
  <c r="Q245" i="4"/>
  <c r="S245" i="4" s="1"/>
  <c r="P245" i="4"/>
  <c r="D245" i="4"/>
  <c r="E245" i="4" s="1"/>
  <c r="C245" i="4"/>
  <c r="Z245" i="4" s="1"/>
  <c r="CE244" i="4"/>
  <c r="BV244" i="4"/>
  <c r="BU244" i="4"/>
  <c r="BT244" i="4"/>
  <c r="AE244" i="4"/>
  <c r="AC244" i="4"/>
  <c r="Z244" i="4"/>
  <c r="W244" i="4"/>
  <c r="P244" i="4"/>
  <c r="D244" i="4"/>
  <c r="E244" i="4" s="1"/>
  <c r="N244" i="4" s="1"/>
  <c r="CE243" i="4"/>
  <c r="BU243" i="4"/>
  <c r="BT243" i="4"/>
  <c r="BV243" i="4" s="1"/>
  <c r="AE243" i="4"/>
  <c r="AC243" i="4"/>
  <c r="Z243" i="4"/>
  <c r="W243" i="4"/>
  <c r="P243" i="4"/>
  <c r="E243" i="4"/>
  <c r="D243" i="4"/>
  <c r="CE242" i="4"/>
  <c r="BU242" i="4"/>
  <c r="BT242" i="4"/>
  <c r="AE242" i="4"/>
  <c r="AC242" i="4"/>
  <c r="Z242" i="4"/>
  <c r="W242" i="4"/>
  <c r="Q242" i="4"/>
  <c r="P242" i="4"/>
  <c r="E242" i="4"/>
  <c r="N242" i="4" s="1"/>
  <c r="D242" i="4"/>
  <c r="CE241" i="4"/>
  <c r="BU241" i="4"/>
  <c r="BT241" i="4"/>
  <c r="AE241" i="4"/>
  <c r="AC241" i="4"/>
  <c r="Z241" i="4"/>
  <c r="W241" i="4"/>
  <c r="P241" i="4"/>
  <c r="D241" i="4"/>
  <c r="E241" i="4" s="1"/>
  <c r="CE240" i="4"/>
  <c r="BV240" i="4"/>
  <c r="BU240" i="4"/>
  <c r="BT240" i="4"/>
  <c r="AE240" i="4"/>
  <c r="AC240" i="4"/>
  <c r="Z240" i="4"/>
  <c r="W240" i="4"/>
  <c r="P240" i="4"/>
  <c r="F240" i="4"/>
  <c r="D240" i="4"/>
  <c r="E240" i="4" s="1"/>
  <c r="AE239" i="4"/>
  <c r="Z239" i="4"/>
  <c r="D239" i="4"/>
  <c r="AE238" i="4"/>
  <c r="Z238" i="4"/>
  <c r="D238" i="4"/>
  <c r="Z232" i="4"/>
  <c r="W232" i="4"/>
  <c r="P232" i="4"/>
  <c r="N232" i="4"/>
  <c r="I232" i="4"/>
  <c r="G232" i="4"/>
  <c r="F232" i="4"/>
  <c r="J232" i="4" s="1"/>
  <c r="L232" i="4" s="1"/>
  <c r="D232" i="4"/>
  <c r="E232" i="4" s="1"/>
  <c r="Z231" i="4"/>
  <c r="W231" i="4"/>
  <c r="S231" i="4"/>
  <c r="Q231" i="4"/>
  <c r="R231" i="4" s="1"/>
  <c r="P231" i="4"/>
  <c r="E231" i="4"/>
  <c r="N231" i="4" s="1"/>
  <c r="D231" i="4"/>
  <c r="Z230" i="4"/>
  <c r="W230" i="4"/>
  <c r="P230" i="4"/>
  <c r="D230" i="4"/>
  <c r="E230" i="4" s="1"/>
  <c r="Q230" i="4" s="1"/>
  <c r="S230" i="4" s="1"/>
  <c r="Z229" i="4"/>
  <c r="W229" i="4"/>
  <c r="P229" i="4"/>
  <c r="E229" i="4"/>
  <c r="D229" i="4"/>
  <c r="W228" i="4"/>
  <c r="P228" i="4"/>
  <c r="C228" i="4"/>
  <c r="Z227" i="4"/>
  <c r="W227" i="4"/>
  <c r="Q227" i="4"/>
  <c r="P227" i="4"/>
  <c r="E227" i="4"/>
  <c r="D227" i="4"/>
  <c r="Z226" i="4"/>
  <c r="W226" i="4"/>
  <c r="P226" i="4"/>
  <c r="F226" i="4"/>
  <c r="E226" i="4"/>
  <c r="N226" i="4" s="1"/>
  <c r="D226" i="4"/>
  <c r="Z225" i="4"/>
  <c r="W225" i="4"/>
  <c r="P225" i="4"/>
  <c r="N225" i="4"/>
  <c r="D225" i="4"/>
  <c r="E225" i="4" s="1"/>
  <c r="Z224" i="4"/>
  <c r="W224" i="4"/>
  <c r="S224" i="4"/>
  <c r="Q224" i="4"/>
  <c r="R224" i="4" s="1"/>
  <c r="P224" i="4"/>
  <c r="E224" i="4"/>
  <c r="N224" i="4" s="1"/>
  <c r="D224" i="4"/>
  <c r="Z223" i="4"/>
  <c r="W223" i="4"/>
  <c r="Q223" i="4"/>
  <c r="S223" i="4" s="1"/>
  <c r="P223" i="4"/>
  <c r="D223" i="4"/>
  <c r="E223" i="4" s="1"/>
  <c r="L219" i="4"/>
  <c r="AZ215" i="4"/>
  <c r="AY215" i="4"/>
  <c r="AX215" i="4"/>
  <c r="AW215" i="4"/>
  <c r="AL215" i="4"/>
  <c r="AK215" i="4"/>
  <c r="AJ215" i="4"/>
  <c r="AI215" i="4"/>
  <c r="N215" i="4"/>
  <c r="H215" i="4"/>
  <c r="AZ214" i="4"/>
  <c r="AY214" i="4"/>
  <c r="AX214" i="4"/>
  <c r="AW214" i="4"/>
  <c r="AL214" i="4"/>
  <c r="AK214" i="4"/>
  <c r="AJ214" i="4"/>
  <c r="AI214" i="4"/>
  <c r="N214" i="4"/>
  <c r="H214" i="4"/>
  <c r="AZ213" i="4"/>
  <c r="AY213" i="4"/>
  <c r="AX213" i="4"/>
  <c r="AW213" i="4"/>
  <c r="AL213" i="4"/>
  <c r="AK213" i="4"/>
  <c r="AJ213" i="4"/>
  <c r="AI213" i="4"/>
  <c r="N213" i="4"/>
  <c r="H213" i="4"/>
  <c r="E213" i="4"/>
  <c r="AZ212" i="4"/>
  <c r="AY212" i="4"/>
  <c r="AX212" i="4"/>
  <c r="AW212" i="4"/>
  <c r="AL212" i="4"/>
  <c r="AK212" i="4"/>
  <c r="AJ212" i="4"/>
  <c r="AI212" i="4"/>
  <c r="N212" i="4"/>
  <c r="H212" i="4"/>
  <c r="E212" i="4"/>
  <c r="AZ211" i="4"/>
  <c r="AY211" i="4"/>
  <c r="AX211" i="4"/>
  <c r="AW211" i="4"/>
  <c r="AL211" i="4"/>
  <c r="AK211" i="4"/>
  <c r="AJ211" i="4"/>
  <c r="AI211" i="4"/>
  <c r="N211" i="4"/>
  <c r="H211" i="4"/>
  <c r="E211" i="4"/>
  <c r="AZ210" i="4"/>
  <c r="AY210" i="4"/>
  <c r="AX210" i="4"/>
  <c r="AW210" i="4"/>
  <c r="AL210" i="4"/>
  <c r="AK210" i="4"/>
  <c r="AJ210" i="4"/>
  <c r="AI210" i="4"/>
  <c r="N210" i="4"/>
  <c r="H210" i="4"/>
  <c r="E210" i="4"/>
  <c r="AZ209" i="4"/>
  <c r="AY209" i="4"/>
  <c r="AX209" i="4"/>
  <c r="AW209" i="4"/>
  <c r="AL209" i="4"/>
  <c r="AK209" i="4"/>
  <c r="AJ209" i="4"/>
  <c r="AI209" i="4"/>
  <c r="N209" i="4"/>
  <c r="H209" i="4"/>
  <c r="E209" i="4"/>
  <c r="AZ208" i="4"/>
  <c r="AY208" i="4"/>
  <c r="AX208" i="4"/>
  <c r="AW208" i="4"/>
  <c r="AL208" i="4"/>
  <c r="AK208" i="4"/>
  <c r="AJ208" i="4"/>
  <c r="AI208" i="4"/>
  <c r="N208" i="4"/>
  <c r="K208" i="4"/>
  <c r="H208" i="4"/>
  <c r="E208" i="4"/>
  <c r="AZ207" i="4"/>
  <c r="AY207" i="4"/>
  <c r="AX207" i="4"/>
  <c r="AW207" i="4"/>
  <c r="AL207" i="4"/>
  <c r="AK207" i="4"/>
  <c r="AJ207" i="4"/>
  <c r="AI207" i="4"/>
  <c r="N207" i="4"/>
  <c r="K207" i="4"/>
  <c r="H207" i="4"/>
  <c r="E207" i="4"/>
  <c r="AZ206" i="4"/>
  <c r="AY206" i="4"/>
  <c r="AX206" i="4"/>
  <c r="AW206" i="4"/>
  <c r="AL206" i="4"/>
  <c r="AK206" i="4"/>
  <c r="AJ206" i="4"/>
  <c r="AI206" i="4"/>
  <c r="N206" i="4"/>
  <c r="K206" i="4"/>
  <c r="H206" i="4"/>
  <c r="E206" i="4"/>
  <c r="AZ205" i="4"/>
  <c r="AY205" i="4"/>
  <c r="AX205" i="4"/>
  <c r="AW205" i="4"/>
  <c r="AL205" i="4"/>
  <c r="AK205" i="4"/>
  <c r="AJ205" i="4"/>
  <c r="AI205" i="4"/>
  <c r="N205" i="4"/>
  <c r="K205" i="4"/>
  <c r="H205" i="4"/>
  <c r="E205" i="4"/>
  <c r="AZ204" i="4"/>
  <c r="AY204" i="4"/>
  <c r="AX204" i="4"/>
  <c r="AW204" i="4"/>
  <c r="AL204" i="4"/>
  <c r="AK204" i="4"/>
  <c r="AJ204" i="4"/>
  <c r="AI204" i="4"/>
  <c r="N204" i="4"/>
  <c r="K204" i="4"/>
  <c r="H204" i="4"/>
  <c r="E204" i="4"/>
  <c r="AZ203" i="4"/>
  <c r="AY203" i="4"/>
  <c r="AX203" i="4"/>
  <c r="AW203" i="4"/>
  <c r="AL203" i="4"/>
  <c r="AK203" i="4"/>
  <c r="AJ203" i="4"/>
  <c r="AI203" i="4"/>
  <c r="N203" i="4"/>
  <c r="K203" i="4"/>
  <c r="H203" i="4"/>
  <c r="E203" i="4"/>
  <c r="AZ202" i="4"/>
  <c r="AY202" i="4"/>
  <c r="AX202" i="4"/>
  <c r="AW202" i="4"/>
  <c r="AL202" i="4"/>
  <c r="AK202" i="4"/>
  <c r="AJ202" i="4"/>
  <c r="AI202" i="4"/>
  <c r="N202" i="4"/>
  <c r="K202" i="4"/>
  <c r="H202" i="4"/>
  <c r="E202" i="4"/>
  <c r="AZ201" i="4"/>
  <c r="AY201" i="4"/>
  <c r="AX201" i="4"/>
  <c r="AW201" i="4"/>
  <c r="AL201" i="4"/>
  <c r="AK201" i="4"/>
  <c r="AJ201" i="4"/>
  <c r="AI201" i="4"/>
  <c r="N201" i="4"/>
  <c r="K201" i="4"/>
  <c r="H201" i="4"/>
  <c r="E201" i="4"/>
  <c r="AZ200" i="4"/>
  <c r="AY200" i="4"/>
  <c r="AX200" i="4"/>
  <c r="AW200" i="4"/>
  <c r="AL200" i="4"/>
  <c r="AK200" i="4"/>
  <c r="AJ200" i="4"/>
  <c r="AI200" i="4"/>
  <c r="AZ199" i="4"/>
  <c r="AY199" i="4"/>
  <c r="AX199" i="4"/>
  <c r="AW199" i="4"/>
  <c r="AL199" i="4"/>
  <c r="AK199" i="4"/>
  <c r="AJ199" i="4"/>
  <c r="AI199" i="4"/>
  <c r="N194" i="4"/>
  <c r="M194" i="4"/>
  <c r="H194" i="4"/>
  <c r="G194" i="4"/>
  <c r="N193" i="4"/>
  <c r="M193" i="4"/>
  <c r="H193" i="4"/>
  <c r="G193" i="4"/>
  <c r="N192" i="4"/>
  <c r="M192" i="4"/>
  <c r="H192" i="4"/>
  <c r="G192" i="4"/>
  <c r="E192" i="4"/>
  <c r="D192" i="4"/>
  <c r="N191" i="4"/>
  <c r="M191" i="4"/>
  <c r="H191" i="4"/>
  <c r="G191" i="4"/>
  <c r="E191" i="4"/>
  <c r="D191" i="4"/>
  <c r="N190" i="4"/>
  <c r="M190" i="4"/>
  <c r="H190" i="4"/>
  <c r="G190" i="4"/>
  <c r="E190" i="4"/>
  <c r="D190" i="4"/>
  <c r="N189" i="4"/>
  <c r="M189" i="4"/>
  <c r="H189" i="4"/>
  <c r="G189" i="4"/>
  <c r="E189" i="4"/>
  <c r="D189" i="4"/>
  <c r="N188" i="4"/>
  <c r="M188" i="4"/>
  <c r="H188" i="4"/>
  <c r="G188" i="4"/>
  <c r="E188" i="4"/>
  <c r="D188" i="4"/>
  <c r="N187" i="4"/>
  <c r="M187" i="4"/>
  <c r="K187" i="4"/>
  <c r="J187" i="4"/>
  <c r="H187" i="4"/>
  <c r="G187" i="4"/>
  <c r="E187" i="4"/>
  <c r="D187" i="4"/>
  <c r="BA186" i="4"/>
  <c r="N186" i="4"/>
  <c r="M186" i="4"/>
  <c r="K186" i="4"/>
  <c r="J186" i="4"/>
  <c r="H186" i="4"/>
  <c r="G186" i="4"/>
  <c r="E186" i="4"/>
  <c r="D186" i="4"/>
  <c r="BA185" i="4"/>
  <c r="N185" i="4"/>
  <c r="M185" i="4"/>
  <c r="K185" i="4"/>
  <c r="J185" i="4"/>
  <c r="H185" i="4"/>
  <c r="G185" i="4"/>
  <c r="E185" i="4"/>
  <c r="D185" i="4"/>
  <c r="N184" i="4"/>
  <c r="M184" i="4"/>
  <c r="K184" i="4"/>
  <c r="J184" i="4"/>
  <c r="H184" i="4"/>
  <c r="G184" i="4"/>
  <c r="E184" i="4"/>
  <c r="D184" i="4"/>
  <c r="N183" i="4"/>
  <c r="M183" i="4"/>
  <c r="K183" i="4"/>
  <c r="J183" i="4"/>
  <c r="H183" i="4"/>
  <c r="G183" i="4"/>
  <c r="E183" i="4"/>
  <c r="D183" i="4"/>
  <c r="N182" i="4"/>
  <c r="M182" i="4"/>
  <c r="K182" i="4"/>
  <c r="J182" i="4"/>
  <c r="H182" i="4"/>
  <c r="G182" i="4"/>
  <c r="E182" i="4"/>
  <c r="D182" i="4"/>
  <c r="N181" i="4"/>
  <c r="M181" i="4"/>
  <c r="K181" i="4"/>
  <c r="J181" i="4"/>
  <c r="H181" i="4"/>
  <c r="G181" i="4"/>
  <c r="E181" i="4"/>
  <c r="D181" i="4"/>
  <c r="N180" i="4"/>
  <c r="M180" i="4"/>
  <c r="K180" i="4"/>
  <c r="J180" i="4"/>
  <c r="H180" i="4"/>
  <c r="G180" i="4"/>
  <c r="E180" i="4"/>
  <c r="D180" i="4"/>
  <c r="BD179" i="4"/>
  <c r="BA179" i="4"/>
  <c r="BA177" i="4"/>
  <c r="BD183" i="4" s="1"/>
  <c r="G174" i="4"/>
  <c r="G173" i="4"/>
  <c r="G172" i="4"/>
  <c r="G171" i="4"/>
  <c r="G170" i="4"/>
  <c r="G169" i="4"/>
  <c r="M162" i="4"/>
  <c r="M161" i="4"/>
  <c r="J161" i="4"/>
  <c r="E161" i="4"/>
  <c r="M160" i="4"/>
  <c r="J160" i="4"/>
  <c r="E160" i="4"/>
  <c r="M159" i="4"/>
  <c r="J159" i="4"/>
  <c r="E159" i="4"/>
  <c r="M158" i="4"/>
  <c r="J158" i="4"/>
  <c r="E158" i="4"/>
  <c r="M157" i="4"/>
  <c r="J157" i="4"/>
  <c r="E157" i="4"/>
  <c r="M156" i="4"/>
  <c r="J156" i="4"/>
  <c r="E156" i="4"/>
  <c r="M155" i="4"/>
  <c r="J155" i="4"/>
  <c r="E155" i="4"/>
  <c r="M154" i="4"/>
  <c r="J154" i="4"/>
  <c r="E154" i="4"/>
  <c r="M153" i="4"/>
  <c r="J153" i="4"/>
  <c r="E153" i="4"/>
  <c r="G150" i="4"/>
  <c r="E148" i="4"/>
  <c r="D148" i="4"/>
  <c r="E147" i="4"/>
  <c r="D147" i="4"/>
  <c r="N146" i="4"/>
  <c r="E146" i="4"/>
  <c r="D146" i="4"/>
  <c r="N145" i="4"/>
  <c r="E145" i="4"/>
  <c r="D145" i="4"/>
  <c r="N144" i="4"/>
  <c r="E144" i="4"/>
  <c r="D144" i="4"/>
  <c r="N143" i="4"/>
  <c r="E143" i="4"/>
  <c r="D143" i="4"/>
  <c r="N142" i="4"/>
  <c r="E142" i="4"/>
  <c r="D142" i="4"/>
  <c r="N141" i="4"/>
  <c r="E141" i="4"/>
  <c r="D141" i="4"/>
  <c r="N140" i="4"/>
  <c r="E140" i="4"/>
  <c r="D140" i="4"/>
  <c r="N139" i="4"/>
  <c r="E139" i="4"/>
  <c r="D139" i="4"/>
  <c r="N138" i="4"/>
  <c r="E138" i="4"/>
  <c r="D138" i="4"/>
  <c r="N137" i="4"/>
  <c r="E137" i="4"/>
  <c r="D137" i="4"/>
  <c r="N136" i="4"/>
  <c r="E136" i="4"/>
  <c r="D136" i="4"/>
  <c r="N135" i="4"/>
  <c r="E135" i="4"/>
  <c r="D135" i="4"/>
  <c r="N134" i="4"/>
  <c r="E134" i="4"/>
  <c r="D134" i="4"/>
  <c r="N133" i="4"/>
  <c r="E133" i="4"/>
  <c r="D133" i="4"/>
  <c r="N132" i="4"/>
  <c r="E132" i="4"/>
  <c r="D132" i="4"/>
  <c r="N131" i="4"/>
  <c r="E131" i="4"/>
  <c r="D131" i="4"/>
  <c r="N130" i="4"/>
  <c r="E130" i="4"/>
  <c r="D130" i="4"/>
  <c r="N129" i="4"/>
  <c r="E129" i="4"/>
  <c r="D129" i="4"/>
  <c r="N128" i="4"/>
  <c r="E128" i="4"/>
  <c r="D128" i="4"/>
  <c r="N127" i="4"/>
  <c r="E127" i="4"/>
  <c r="D127" i="4"/>
  <c r="N126" i="4"/>
  <c r="E126" i="4"/>
  <c r="D126" i="4"/>
  <c r="N125" i="4"/>
  <c r="E125" i="4"/>
  <c r="D125" i="4"/>
  <c r="N124" i="4"/>
  <c r="E124" i="4"/>
  <c r="D124" i="4"/>
  <c r="N123" i="4"/>
  <c r="E123" i="4"/>
  <c r="D123" i="4"/>
  <c r="N122" i="4"/>
  <c r="E122" i="4"/>
  <c r="D122" i="4"/>
  <c r="N121" i="4"/>
  <c r="E121" i="4"/>
  <c r="D121" i="4"/>
  <c r="N120" i="4"/>
  <c r="E120" i="4"/>
  <c r="D120" i="4"/>
  <c r="N119" i="4"/>
  <c r="E119" i="4"/>
  <c r="D119" i="4"/>
  <c r="N118" i="4"/>
  <c r="E118" i="4"/>
  <c r="D118" i="4"/>
  <c r="N117" i="4"/>
  <c r="E117" i="4"/>
  <c r="D117" i="4"/>
  <c r="N116" i="4"/>
  <c r="E116" i="4"/>
  <c r="D116" i="4"/>
  <c r="N115" i="4"/>
  <c r="E115" i="4"/>
  <c r="D115" i="4"/>
  <c r="N114" i="4"/>
  <c r="E114" i="4"/>
  <c r="D114" i="4"/>
  <c r="N113" i="4"/>
  <c r="E113" i="4"/>
  <c r="D113" i="4"/>
  <c r="N112" i="4"/>
  <c r="E112" i="4"/>
  <c r="D112" i="4"/>
  <c r="N111" i="4"/>
  <c r="E111" i="4"/>
  <c r="D111" i="4"/>
  <c r="N110" i="4"/>
  <c r="E110" i="4"/>
  <c r="D110" i="4"/>
  <c r="N109" i="4"/>
  <c r="E109" i="4"/>
  <c r="D109" i="4"/>
  <c r="N108" i="4"/>
  <c r="E108" i="4"/>
  <c r="D108" i="4"/>
  <c r="N107" i="4"/>
  <c r="E107" i="4"/>
  <c r="D107" i="4"/>
  <c r="N106" i="4"/>
  <c r="E106" i="4"/>
  <c r="D106" i="4"/>
  <c r="N105" i="4"/>
  <c r="E105" i="4"/>
  <c r="D105" i="4"/>
  <c r="N104" i="4"/>
  <c r="E104" i="4"/>
  <c r="D104" i="4"/>
  <c r="N103" i="4"/>
  <c r="E103" i="4"/>
  <c r="D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S78" i="4"/>
  <c r="N78" i="4"/>
  <c r="L78" i="4"/>
  <c r="S77" i="4"/>
  <c r="N77" i="4"/>
  <c r="J77" i="4"/>
  <c r="B77" i="4"/>
  <c r="S76" i="4"/>
  <c r="N76" i="4"/>
  <c r="B76" i="4"/>
  <c r="S75" i="4"/>
  <c r="N75" i="4"/>
  <c r="B75" i="4"/>
  <c r="S74" i="4"/>
  <c r="N74" i="4"/>
  <c r="B74" i="4"/>
  <c r="S73" i="4"/>
  <c r="N73" i="4"/>
  <c r="B73" i="4"/>
  <c r="S72" i="4"/>
  <c r="N72" i="4"/>
  <c r="B72" i="4"/>
  <c r="S71" i="4"/>
  <c r="N71" i="4"/>
  <c r="L71" i="4"/>
  <c r="B71" i="4"/>
  <c r="S70" i="4"/>
  <c r="N70" i="4"/>
  <c r="B70" i="4"/>
  <c r="S69" i="4"/>
  <c r="N69" i="4"/>
  <c r="B69" i="4"/>
  <c r="J68" i="4"/>
  <c r="B62" i="4"/>
  <c r="D61" i="4"/>
  <c r="B61" i="4"/>
  <c r="R60" i="4"/>
  <c r="I60" i="4"/>
  <c r="H60" i="4"/>
  <c r="B60" i="4"/>
  <c r="B29" i="4"/>
  <c r="B28" i="4"/>
  <c r="B27" i="4"/>
  <c r="B25" i="4"/>
  <c r="B21" i="4"/>
  <c r="B20" i="4"/>
  <c r="B19" i="4"/>
  <c r="B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F8" i="4"/>
  <c r="K7" i="4"/>
  <c r="H7" i="4"/>
  <c r="D60" i="4" s="1"/>
  <c r="F7" i="4"/>
  <c r="C7" i="4"/>
  <c r="C8" i="4" s="1"/>
  <c r="K6" i="4"/>
  <c r="L5" i="4"/>
  <c r="J5" i="4"/>
  <c r="C4" i="4" s="1"/>
  <c r="R61" i="4" s="1"/>
  <c r="H5" i="4"/>
  <c r="F4" i="4"/>
  <c r="D4" i="4"/>
  <c r="Z62" i="13"/>
  <c r="X62" i="13"/>
  <c r="Y62" i="13" s="1"/>
  <c r="V62" i="13"/>
  <c r="S62" i="13"/>
  <c r="I62" i="13"/>
  <c r="Z61" i="13"/>
  <c r="Y61" i="13"/>
  <c r="X61" i="13"/>
  <c r="V61" i="13"/>
  <c r="S61" i="13"/>
  <c r="I61" i="13"/>
  <c r="V60" i="13"/>
  <c r="Z60" i="13" s="1"/>
  <c r="S60" i="13"/>
  <c r="I60" i="13"/>
  <c r="X60" i="13" s="1"/>
  <c r="Y60" i="13" s="1"/>
  <c r="Z59" i="13"/>
  <c r="X59" i="13"/>
  <c r="Y59" i="13" s="1"/>
  <c r="V59" i="13"/>
  <c r="S59" i="13"/>
  <c r="I59" i="13"/>
  <c r="X58" i="13"/>
  <c r="Y58" i="13" s="1"/>
  <c r="V58" i="13"/>
  <c r="Z58" i="13" s="1"/>
  <c r="S58" i="13"/>
  <c r="I58" i="13"/>
  <c r="Z57" i="13"/>
  <c r="Y57" i="13"/>
  <c r="X57" i="13"/>
  <c r="V57" i="13"/>
  <c r="S57" i="13"/>
  <c r="R57" i="13"/>
  <c r="I57" i="13"/>
  <c r="Z56" i="13"/>
  <c r="V56" i="13"/>
  <c r="S56" i="13"/>
  <c r="I56" i="13"/>
  <c r="X56" i="13" s="1"/>
  <c r="Y56" i="13" s="1"/>
  <c r="Z55" i="13"/>
  <c r="X55" i="13"/>
  <c r="Y55" i="13" s="1"/>
  <c r="V55" i="13"/>
  <c r="S55" i="13"/>
  <c r="I55" i="13"/>
  <c r="Z54" i="13"/>
  <c r="X54" i="13"/>
  <c r="Y54" i="13" s="1"/>
  <c r="V54" i="13"/>
  <c r="S54" i="13"/>
  <c r="I54" i="13"/>
  <c r="X53" i="13"/>
  <c r="Y53" i="13" s="1"/>
  <c r="V53" i="13"/>
  <c r="Z53" i="13" s="1"/>
  <c r="S53" i="13"/>
  <c r="I53" i="13"/>
  <c r="S52" i="13"/>
  <c r="I52" i="13"/>
  <c r="X52" i="13" s="1"/>
  <c r="Y52" i="13" s="1"/>
  <c r="X51" i="13"/>
  <c r="Y51" i="13" s="1"/>
  <c r="V51" i="13"/>
  <c r="Z51" i="13" s="1"/>
  <c r="S51" i="13"/>
  <c r="I51" i="13"/>
  <c r="X50" i="13"/>
  <c r="Y50" i="13" s="1"/>
  <c r="V50" i="13"/>
  <c r="Z50" i="13" s="1"/>
  <c r="S50" i="13"/>
  <c r="I50" i="13"/>
  <c r="Z49" i="13"/>
  <c r="X49" i="13"/>
  <c r="Y49" i="13" s="1"/>
  <c r="V49" i="13"/>
  <c r="S49" i="13"/>
  <c r="I49" i="13"/>
  <c r="S48" i="13"/>
  <c r="I48" i="13"/>
  <c r="V48" i="13" s="1"/>
  <c r="Z48" i="13" s="1"/>
  <c r="S47" i="13"/>
  <c r="I47" i="13"/>
  <c r="X43" i="13"/>
  <c r="Y43" i="13" s="1"/>
  <c r="S43" i="13"/>
  <c r="I43" i="13"/>
  <c r="V43" i="13" s="1"/>
  <c r="Z43" i="13" s="1"/>
  <c r="D43" i="13"/>
  <c r="Y42" i="13"/>
  <c r="X42" i="13"/>
  <c r="S42" i="13"/>
  <c r="I42" i="13"/>
  <c r="V42" i="13" s="1"/>
  <c r="Z42" i="13" s="1"/>
  <c r="D42" i="13"/>
  <c r="Z41" i="13"/>
  <c r="Y41" i="13"/>
  <c r="V41" i="13"/>
  <c r="S41" i="13"/>
  <c r="I41" i="13"/>
  <c r="X41" i="13" s="1"/>
  <c r="D41" i="13"/>
  <c r="V40" i="13"/>
  <c r="Z40" i="13" s="1"/>
  <c r="S40" i="13"/>
  <c r="I40" i="13"/>
  <c r="X40" i="13" s="1"/>
  <c r="Y40" i="13" s="1"/>
  <c r="D40" i="13"/>
  <c r="X39" i="13"/>
  <c r="Y39" i="13" s="1"/>
  <c r="S39" i="13"/>
  <c r="I39" i="13"/>
  <c r="V39" i="13" s="1"/>
  <c r="Z39" i="13" s="1"/>
  <c r="D39" i="13"/>
  <c r="Y38" i="13"/>
  <c r="X38" i="13"/>
  <c r="V38" i="13"/>
  <c r="Z38" i="13" s="1"/>
  <c r="S38" i="13"/>
  <c r="I38" i="13"/>
  <c r="D38" i="13"/>
  <c r="V37" i="13"/>
  <c r="Z37" i="13" s="1"/>
  <c r="S37" i="13"/>
  <c r="I37" i="13"/>
  <c r="X37" i="13" s="1"/>
  <c r="Y37" i="13" s="1"/>
  <c r="D37" i="13"/>
  <c r="V36" i="13"/>
  <c r="Z36" i="13" s="1"/>
  <c r="S36" i="13"/>
  <c r="I36" i="13"/>
  <c r="X36" i="13" s="1"/>
  <c r="Y36" i="13" s="1"/>
  <c r="D36" i="13"/>
  <c r="S35" i="13"/>
  <c r="I35" i="13"/>
  <c r="V35" i="13" s="1"/>
  <c r="Z35" i="13" s="1"/>
  <c r="D35" i="13"/>
  <c r="Y34" i="13"/>
  <c r="X34" i="13"/>
  <c r="S34" i="13"/>
  <c r="I34" i="13"/>
  <c r="V34" i="13" s="1"/>
  <c r="Z34" i="13" s="1"/>
  <c r="D34" i="13"/>
  <c r="Y33" i="13"/>
  <c r="X33" i="13"/>
  <c r="V33" i="13"/>
  <c r="Z33" i="13" s="1"/>
  <c r="S33" i="13"/>
  <c r="I33" i="13"/>
  <c r="D33" i="13"/>
  <c r="Z32" i="13"/>
  <c r="V32" i="13"/>
  <c r="S32" i="13"/>
  <c r="I32" i="13"/>
  <c r="X32" i="13" s="1"/>
  <c r="Y32" i="13" s="1"/>
  <c r="D32" i="13"/>
  <c r="S31" i="13"/>
  <c r="I31" i="13"/>
  <c r="V31" i="13" s="1"/>
  <c r="Z31" i="13" s="1"/>
  <c r="D31" i="13"/>
  <c r="X30" i="13"/>
  <c r="Y30" i="13" s="1"/>
  <c r="V30" i="13"/>
  <c r="Z30" i="13" s="1"/>
  <c r="S30" i="13"/>
  <c r="I30" i="13"/>
  <c r="D30" i="13"/>
  <c r="S29" i="13"/>
  <c r="R29" i="13"/>
  <c r="U29" i="13" s="1"/>
  <c r="I29" i="13"/>
  <c r="X29" i="13" s="1"/>
  <c r="Y29" i="13" s="1"/>
  <c r="D29" i="13"/>
  <c r="Z28" i="13"/>
  <c r="V28" i="13"/>
  <c r="S28" i="13"/>
  <c r="I28" i="13"/>
  <c r="X28" i="13" s="1"/>
  <c r="Y28" i="13" s="1"/>
  <c r="D28" i="13"/>
  <c r="S27" i="13"/>
  <c r="I27" i="13"/>
  <c r="V27" i="13" s="1"/>
  <c r="Z27" i="13" s="1"/>
  <c r="D27" i="13"/>
  <c r="Z26" i="13"/>
  <c r="S26" i="13"/>
  <c r="I26" i="13"/>
  <c r="V26" i="13" s="1"/>
  <c r="D26" i="13"/>
  <c r="Y25" i="13"/>
  <c r="X25" i="13"/>
  <c r="V25" i="13"/>
  <c r="Z25" i="13" s="1"/>
  <c r="S25" i="13"/>
  <c r="I25" i="13"/>
  <c r="D25" i="13"/>
  <c r="V24" i="13"/>
  <c r="Z24" i="13" s="1"/>
  <c r="S24" i="13"/>
  <c r="I24" i="13"/>
  <c r="X24" i="13" s="1"/>
  <c r="Y24" i="13" s="1"/>
  <c r="D24" i="13"/>
  <c r="X23" i="13"/>
  <c r="Y23" i="13" s="1"/>
  <c r="S23" i="13"/>
  <c r="I23" i="13"/>
  <c r="V23" i="13" s="1"/>
  <c r="Z23" i="13" s="1"/>
  <c r="D23" i="13"/>
  <c r="Z22" i="13"/>
  <c r="Y22" i="13"/>
  <c r="X22" i="13"/>
  <c r="V22" i="13"/>
  <c r="S22" i="13"/>
  <c r="R22" i="13"/>
  <c r="N22" i="13" s="1"/>
  <c r="M22" i="13" s="1"/>
  <c r="I22" i="13"/>
  <c r="D22" i="13"/>
  <c r="L22" i="13" s="1"/>
  <c r="V21" i="13"/>
  <c r="Z21" i="13" s="1"/>
  <c r="S21" i="13"/>
  <c r="I21" i="13"/>
  <c r="X21" i="13" s="1"/>
  <c r="Y21" i="13" s="1"/>
  <c r="D21" i="13"/>
  <c r="S20" i="13"/>
  <c r="R20" i="13"/>
  <c r="N20" i="13" s="1"/>
  <c r="M20" i="13" s="1"/>
  <c r="I20" i="13"/>
  <c r="V20" i="13" s="1"/>
  <c r="Z20" i="13" s="1"/>
  <c r="D20" i="13"/>
  <c r="L20" i="13" s="1"/>
  <c r="X19" i="13"/>
  <c r="Y19" i="13" s="1"/>
  <c r="S19" i="13"/>
  <c r="I19" i="13"/>
  <c r="V19" i="13" s="1"/>
  <c r="Z19" i="13" s="1"/>
  <c r="D19" i="13"/>
  <c r="Y18" i="13"/>
  <c r="X18" i="13"/>
  <c r="S18" i="13"/>
  <c r="I18" i="13"/>
  <c r="V18" i="13" s="1"/>
  <c r="Z18" i="13" s="1"/>
  <c r="D18" i="13"/>
  <c r="Z17" i="13"/>
  <c r="Y17" i="13"/>
  <c r="X17" i="13"/>
  <c r="V17" i="13"/>
  <c r="S17" i="13"/>
  <c r="I17" i="13"/>
  <c r="D17" i="13"/>
  <c r="V16" i="13"/>
  <c r="Z16" i="13" s="1"/>
  <c r="S16" i="13"/>
  <c r="I16" i="13"/>
  <c r="X16" i="13" s="1"/>
  <c r="Y16" i="13" s="1"/>
  <c r="D16" i="13"/>
  <c r="S15" i="13"/>
  <c r="I15" i="13"/>
  <c r="V15" i="13" s="1"/>
  <c r="Z15" i="13" s="1"/>
  <c r="D15" i="13"/>
  <c r="X14" i="13"/>
  <c r="Y14" i="13" s="1"/>
  <c r="V14" i="13"/>
  <c r="Z14" i="13" s="1"/>
  <c r="S14" i="13"/>
  <c r="I14" i="13"/>
  <c r="D14" i="13"/>
  <c r="V13" i="13"/>
  <c r="Z13" i="13" s="1"/>
  <c r="S13" i="13"/>
  <c r="I13" i="13"/>
  <c r="X13" i="13" s="1"/>
  <c r="Y13" i="13" s="1"/>
  <c r="D13" i="13"/>
  <c r="S12" i="13"/>
  <c r="R12" i="13"/>
  <c r="N12" i="13" s="1"/>
  <c r="M12" i="13" s="1"/>
  <c r="AJ12" i="13" s="1"/>
  <c r="I12" i="13"/>
  <c r="V12" i="13" s="1"/>
  <c r="Z12" i="13" s="1"/>
  <c r="D12" i="13"/>
  <c r="L12" i="13" s="1"/>
  <c r="K5" i="13"/>
  <c r="J5" i="13"/>
  <c r="I5" i="13"/>
  <c r="R36" i="13" s="1"/>
  <c r="G2" i="13"/>
  <c r="L13" i="13" l="1"/>
  <c r="AM12" i="13"/>
  <c r="AL12" i="13"/>
  <c r="AK12" i="13"/>
  <c r="L26" i="13"/>
  <c r="AJ20" i="13"/>
  <c r="U36" i="13"/>
  <c r="N36" i="13"/>
  <c r="M36" i="13" s="1"/>
  <c r="Q12" i="13"/>
  <c r="P29" i="13"/>
  <c r="O29" i="13"/>
  <c r="AD235" i="4"/>
  <c r="AZ240" i="4"/>
  <c r="H224" i="4"/>
  <c r="J81" i="4"/>
  <c r="J82" i="4" s="1"/>
  <c r="H226" i="4"/>
  <c r="H247" i="4"/>
  <c r="H223" i="4"/>
  <c r="H231" i="4"/>
  <c r="G64" i="4"/>
  <c r="J71" i="4"/>
  <c r="H242" i="4"/>
  <c r="J70" i="4"/>
  <c r="J74" i="4" s="1"/>
  <c r="R13" i="13"/>
  <c r="R24" i="13"/>
  <c r="T59" i="13"/>
  <c r="T61" i="13"/>
  <c r="T57" i="13"/>
  <c r="T36" i="13"/>
  <c r="T60" i="13"/>
  <c r="T58" i="13"/>
  <c r="T29" i="13"/>
  <c r="X12" i="13"/>
  <c r="Y12" i="13" s="1"/>
  <c r="T16" i="13"/>
  <c r="R18" i="13"/>
  <c r="X20" i="13"/>
  <c r="Y20" i="13" s="1"/>
  <c r="N29" i="13"/>
  <c r="M29" i="13" s="1"/>
  <c r="AJ29" i="13" s="1"/>
  <c r="X31" i="13"/>
  <c r="Y31" i="13" s="1"/>
  <c r="L41" i="13"/>
  <c r="T42" i="13"/>
  <c r="X47" i="13"/>
  <c r="Y47" i="13" s="1"/>
  <c r="V47" i="13"/>
  <c r="Z47" i="13" s="1"/>
  <c r="R60" i="13"/>
  <c r="R58" i="13"/>
  <c r="R53" i="13"/>
  <c r="R62" i="13"/>
  <c r="R56" i="13"/>
  <c r="T56" i="13" s="1"/>
  <c r="R43" i="13"/>
  <c r="R35" i="13"/>
  <c r="R27" i="13"/>
  <c r="R59" i="13"/>
  <c r="R54" i="13"/>
  <c r="R38" i="13"/>
  <c r="R30" i="13"/>
  <c r="R50" i="13"/>
  <c r="R49" i="13"/>
  <c r="T49" i="13" s="1"/>
  <c r="R55" i="13"/>
  <c r="T55" i="13" s="1"/>
  <c r="R47" i="13"/>
  <c r="T47" i="13" s="1"/>
  <c r="R39" i="13"/>
  <c r="T39" i="13" s="1"/>
  <c r="R31" i="13"/>
  <c r="R52" i="13"/>
  <c r="R42" i="13"/>
  <c r="R34" i="13"/>
  <c r="X15" i="13"/>
  <c r="Y15" i="13" s="1"/>
  <c r="R32" i="13"/>
  <c r="T32" i="13" s="1"/>
  <c r="AJ22" i="13"/>
  <c r="R15" i="13"/>
  <c r="L15" i="13" s="1"/>
  <c r="T24" i="13"/>
  <c r="R25" i="13"/>
  <c r="L25" i="13" s="1"/>
  <c r="R26" i="13"/>
  <c r="T30" i="13"/>
  <c r="X35" i="13"/>
  <c r="Y35" i="13" s="1"/>
  <c r="R40" i="13"/>
  <c r="L32" i="13"/>
  <c r="R33" i="13"/>
  <c r="T33" i="13" s="1"/>
  <c r="L60" i="13"/>
  <c r="U57" i="13"/>
  <c r="N57" i="13"/>
  <c r="M57" i="13" s="1"/>
  <c r="AJ57" i="13" s="1"/>
  <c r="AM57" i="13" s="1"/>
  <c r="L57" i="13"/>
  <c r="T12" i="13"/>
  <c r="R14" i="13"/>
  <c r="T20" i="13"/>
  <c r="T22" i="13"/>
  <c r="X27" i="13"/>
  <c r="Y27" i="13" s="1"/>
  <c r="L36" i="13"/>
  <c r="Q36" i="13" s="1"/>
  <c r="R37" i="13"/>
  <c r="R41" i="13"/>
  <c r="T43" i="13"/>
  <c r="R48" i="13"/>
  <c r="L48" i="13" s="1"/>
  <c r="R51" i="13"/>
  <c r="U12" i="13"/>
  <c r="R19" i="13"/>
  <c r="U20" i="13"/>
  <c r="U22" i="13"/>
  <c r="R23" i="13"/>
  <c r="L23" i="13" s="1"/>
  <c r="X26" i="13"/>
  <c r="Y26" i="13" s="1"/>
  <c r="R28" i="13"/>
  <c r="L29" i="13"/>
  <c r="Q29" i="13" s="1"/>
  <c r="V29" i="13"/>
  <c r="Z29" i="13" s="1"/>
  <c r="AJ36" i="13"/>
  <c r="L40" i="13"/>
  <c r="R17" i="13"/>
  <c r="T17" i="13" s="1"/>
  <c r="R16" i="13"/>
  <c r="R21" i="13"/>
  <c r="T31" i="13"/>
  <c r="L33" i="13"/>
  <c r="R61" i="13"/>
  <c r="J78" i="4"/>
  <c r="X48" i="13"/>
  <c r="Y48" i="13" s="1"/>
  <c r="T61" i="4"/>
  <c r="J252" i="4"/>
  <c r="L252" i="4" s="1"/>
  <c r="I252" i="4"/>
  <c r="G252" i="4"/>
  <c r="C61" i="4"/>
  <c r="R230" i="4"/>
  <c r="V52" i="13"/>
  <c r="Z52" i="13" s="1"/>
  <c r="J61" i="4"/>
  <c r="J226" i="4"/>
  <c r="L226" i="4" s="1"/>
  <c r="G226" i="4"/>
  <c r="I226" i="4"/>
  <c r="J240" i="4"/>
  <c r="L240" i="4" s="1"/>
  <c r="I240" i="4"/>
  <c r="G240" i="4"/>
  <c r="V60" i="4"/>
  <c r="N60" i="4"/>
  <c r="F60" i="4"/>
  <c r="U60" i="4"/>
  <c r="M60" i="4"/>
  <c r="E60" i="4"/>
  <c r="T60" i="4"/>
  <c r="L60" i="4"/>
  <c r="S60" i="4"/>
  <c r="K60" i="4"/>
  <c r="C60" i="4"/>
  <c r="W60" i="4"/>
  <c r="O60" i="4"/>
  <c r="G60" i="4"/>
  <c r="E7" i="4"/>
  <c r="J60" i="4"/>
  <c r="K61" i="4"/>
  <c r="N243" i="4"/>
  <c r="H243" i="4"/>
  <c r="F243" i="4"/>
  <c r="Q243" i="4"/>
  <c r="P60" i="4"/>
  <c r="L61" i="4"/>
  <c r="Q241" i="4"/>
  <c r="H241" i="4"/>
  <c r="N241" i="4"/>
  <c r="F241" i="4"/>
  <c r="S254" i="4"/>
  <c r="R254" i="4"/>
  <c r="Q60" i="4"/>
  <c r="M246" i="4"/>
  <c r="AG246" i="4" s="1"/>
  <c r="K246" i="4"/>
  <c r="J249" i="4"/>
  <c r="L249" i="4" s="1"/>
  <c r="I249" i="4"/>
  <c r="G249" i="4"/>
  <c r="N253" i="4"/>
  <c r="F253" i="4"/>
  <c r="Q253" i="4"/>
  <c r="H253" i="4"/>
  <c r="P61" i="4"/>
  <c r="H61" i="4"/>
  <c r="W61" i="4"/>
  <c r="O61" i="4"/>
  <c r="G61" i="4"/>
  <c r="V61" i="4"/>
  <c r="N61" i="4"/>
  <c r="F61" i="4"/>
  <c r="U61" i="4"/>
  <c r="M61" i="4"/>
  <c r="E61" i="4"/>
  <c r="Q61" i="4"/>
  <c r="I61" i="4"/>
  <c r="S61" i="4"/>
  <c r="I258" i="4"/>
  <c r="J258" i="4"/>
  <c r="L258" i="4" s="1"/>
  <c r="G258" i="4"/>
  <c r="AN279" i="4"/>
  <c r="AR279" i="4"/>
  <c r="BB279" i="4" s="1"/>
  <c r="N223" i="4"/>
  <c r="F223" i="4"/>
  <c r="Q226" i="4"/>
  <c r="Q232" i="4"/>
  <c r="H232" i="4"/>
  <c r="AN268" i="4"/>
  <c r="AM268" i="4"/>
  <c r="AR268" i="4"/>
  <c r="BD186" i="4"/>
  <c r="BD182" i="4"/>
  <c r="BD185" i="4"/>
  <c r="BD181" i="4"/>
  <c r="BA184" i="4"/>
  <c r="BA180" i="4"/>
  <c r="BD184" i="4"/>
  <c r="Q229" i="4"/>
  <c r="H229" i="4"/>
  <c r="N229" i="4"/>
  <c r="F229" i="4"/>
  <c r="Q240" i="4"/>
  <c r="H240" i="4"/>
  <c r="Q249" i="4"/>
  <c r="H249" i="4"/>
  <c r="H252" i="4"/>
  <c r="Q252" i="4"/>
  <c r="H258" i="4"/>
  <c r="N258" i="4"/>
  <c r="Q258" i="4"/>
  <c r="S227" i="4"/>
  <c r="R227" i="4"/>
  <c r="N230" i="4"/>
  <c r="F230" i="4"/>
  <c r="M232" i="4"/>
  <c r="K232" i="4"/>
  <c r="Q244" i="4"/>
  <c r="H244" i="4"/>
  <c r="S247" i="4"/>
  <c r="R247" i="4"/>
  <c r="S272" i="4"/>
  <c r="X272" i="4"/>
  <c r="BD180" i="4"/>
  <c r="BA187" i="4"/>
  <c r="BA188" i="4"/>
  <c r="BA189" i="4"/>
  <c r="BA190" i="4"/>
  <c r="BA191" i="4"/>
  <c r="H230" i="4"/>
  <c r="BV241" i="4"/>
  <c r="F244" i="4"/>
  <c r="R245" i="4"/>
  <c r="N249" i="4"/>
  <c r="N252" i="4"/>
  <c r="F257" i="4"/>
  <c r="Q257" i="4"/>
  <c r="N257" i="4"/>
  <c r="H257" i="4"/>
  <c r="CA271" i="4"/>
  <c r="AN271" i="4"/>
  <c r="BA181" i="4"/>
  <c r="BD187" i="4"/>
  <c r="BD188" i="4"/>
  <c r="BD189" i="4"/>
  <c r="BD190" i="4"/>
  <c r="BD191" i="4"/>
  <c r="Q225" i="4"/>
  <c r="H225" i="4"/>
  <c r="N227" i="4"/>
  <c r="F227" i="4"/>
  <c r="N245" i="4"/>
  <c r="F245" i="4"/>
  <c r="BW246" i="4"/>
  <c r="BV246" i="4"/>
  <c r="Q248" i="4"/>
  <c r="H248" i="4"/>
  <c r="H251" i="4"/>
  <c r="Q251" i="4"/>
  <c r="N254" i="4"/>
  <c r="X254" i="4" s="1"/>
  <c r="F254" i="4"/>
  <c r="H256" i="4"/>
  <c r="Q256" i="4"/>
  <c r="N256" i="4"/>
  <c r="F256" i="4"/>
  <c r="BA182" i="4"/>
  <c r="F225" i="4"/>
  <c r="Z228" i="4"/>
  <c r="D228" i="4"/>
  <c r="E228" i="4" s="1"/>
  <c r="N240" i="4"/>
  <c r="X242" i="4"/>
  <c r="R242" i="4"/>
  <c r="H245" i="4"/>
  <c r="X245" i="4"/>
  <c r="F248" i="4"/>
  <c r="F251" i="4"/>
  <c r="H255" i="4"/>
  <c r="Q255" i="4"/>
  <c r="BA183" i="4"/>
  <c r="R223" i="4"/>
  <c r="H227" i="4"/>
  <c r="S242" i="4"/>
  <c r="BV242" i="4"/>
  <c r="Q246" i="4"/>
  <c r="H246" i="4"/>
  <c r="N247" i="4"/>
  <c r="X247" i="4" s="1"/>
  <c r="F247" i="4"/>
  <c r="H254" i="4"/>
  <c r="F255" i="4"/>
  <c r="X269" i="4"/>
  <c r="S269" i="4"/>
  <c r="X263" i="4"/>
  <c r="AN265" i="4"/>
  <c r="AM265" i="4"/>
  <c r="AR285" i="4"/>
  <c r="BB285" i="4" s="1"/>
  <c r="AN285" i="4"/>
  <c r="AM285" i="4"/>
  <c r="S266" i="4"/>
  <c r="X270" i="4"/>
  <c r="S271" i="4"/>
  <c r="AR282" i="4"/>
  <c r="BB282" i="4" s="1"/>
  <c r="AN282" i="4"/>
  <c r="AM282" i="4"/>
  <c r="AN283" i="4"/>
  <c r="E11" i="10"/>
  <c r="S273" i="4"/>
  <c r="AR267" i="4"/>
  <c r="BB267" i="4" s="1"/>
  <c r="AN267" i="4"/>
  <c r="AM267" i="4"/>
  <c r="AN280" i="4"/>
  <c r="AR280" i="4"/>
  <c r="BB280" i="4" s="1"/>
  <c r="F224" i="4"/>
  <c r="F231" i="4"/>
  <c r="F242" i="4"/>
  <c r="S262" i="4"/>
  <c r="S263" i="4"/>
  <c r="S275" i="4"/>
  <c r="AN273" i="4"/>
  <c r="AM273" i="4"/>
  <c r="U17" i="7"/>
  <c r="M17" i="7"/>
  <c r="E17" i="7"/>
  <c r="T17" i="7"/>
  <c r="L17" i="7"/>
  <c r="D17" i="7"/>
  <c r="S17" i="7"/>
  <c r="K17" i="7"/>
  <c r="C17" i="7"/>
  <c r="R17" i="7"/>
  <c r="J17" i="7"/>
  <c r="Q17" i="7"/>
  <c r="I17" i="7"/>
  <c r="O17" i="7"/>
  <c r="G17" i="7"/>
  <c r="V17" i="7"/>
  <c r="N17" i="7"/>
  <c r="F17" i="7"/>
  <c r="U17" i="9"/>
  <c r="M17" i="9"/>
  <c r="E17" i="9"/>
  <c r="T17" i="9"/>
  <c r="L17" i="9"/>
  <c r="D17" i="9"/>
  <c r="S17" i="9"/>
  <c r="K17" i="9"/>
  <c r="C17" i="9"/>
  <c r="R17" i="9"/>
  <c r="J17" i="9"/>
  <c r="Q17" i="9"/>
  <c r="I17" i="9"/>
  <c r="O17" i="9"/>
  <c r="G17" i="9"/>
  <c r="V17" i="9"/>
  <c r="N17" i="9"/>
  <c r="F17" i="9"/>
  <c r="C37" i="10"/>
  <c r="BL263" i="4"/>
  <c r="E11" i="11"/>
  <c r="I12" i="11"/>
  <c r="M13" i="11"/>
  <c r="E15" i="11"/>
  <c r="I16" i="11"/>
  <c r="M17" i="11"/>
  <c r="I19" i="11"/>
  <c r="I21" i="11"/>
  <c r="I24" i="11"/>
  <c r="C25" i="6"/>
  <c r="K25" i="6"/>
  <c r="S25" i="6"/>
  <c r="C3" i="8"/>
  <c r="E14" i="8"/>
  <c r="E15" i="8" s="1"/>
  <c r="I25" i="8"/>
  <c r="Q25" i="8"/>
  <c r="I19" i="7"/>
  <c r="Q19" i="7"/>
  <c r="C4" i="10"/>
  <c r="C11" i="10" s="1"/>
  <c r="G14" i="10"/>
  <c r="J25" i="10"/>
  <c r="R25" i="10"/>
  <c r="BQ267" i="4"/>
  <c r="AM284" i="4"/>
  <c r="D25" i="6"/>
  <c r="L25" i="6"/>
  <c r="T25" i="6"/>
  <c r="C4" i="8"/>
  <c r="C11" i="8" s="1"/>
  <c r="J25" i="8"/>
  <c r="R25" i="8"/>
  <c r="J19" i="7"/>
  <c r="R19" i="7"/>
  <c r="J19" i="9"/>
  <c r="R19" i="9"/>
  <c r="C25" i="10"/>
  <c r="K25" i="10"/>
  <c r="S25" i="10"/>
  <c r="F25" i="6"/>
  <c r="N25" i="6"/>
  <c r="V25" i="6"/>
  <c r="D25" i="8"/>
  <c r="L25" i="8"/>
  <c r="T25" i="8"/>
  <c r="D19" i="7"/>
  <c r="L19" i="7"/>
  <c r="T19" i="7"/>
  <c r="D19" i="9"/>
  <c r="L19" i="9"/>
  <c r="T19" i="9"/>
  <c r="E25" i="10"/>
  <c r="M25" i="10"/>
  <c r="U25" i="10"/>
  <c r="AD431" i="4"/>
  <c r="I10" i="11"/>
  <c r="M11" i="11"/>
  <c r="E13" i="11"/>
  <c r="I14" i="11"/>
  <c r="M15" i="11"/>
  <c r="E17" i="11"/>
  <c r="I18" i="11"/>
  <c r="I20" i="11"/>
  <c r="I22" i="11"/>
  <c r="C14" i="6"/>
  <c r="G25" i="6"/>
  <c r="O25" i="6"/>
  <c r="E25" i="8"/>
  <c r="M25" i="8"/>
  <c r="U25" i="8"/>
  <c r="E19" i="7"/>
  <c r="M19" i="7"/>
  <c r="U19" i="7"/>
  <c r="E19" i="9"/>
  <c r="M19" i="9"/>
  <c r="U19" i="9"/>
  <c r="F25" i="10"/>
  <c r="N25" i="10"/>
  <c r="V25" i="10"/>
  <c r="I462" i="4"/>
  <c r="D14" i="6"/>
  <c r="D15" i="6" s="1"/>
  <c r="H25" i="6"/>
  <c r="P25" i="6"/>
  <c r="M10" i="11"/>
  <c r="E12" i="11"/>
  <c r="I13" i="11"/>
  <c r="M14" i="11"/>
  <c r="E16" i="11"/>
  <c r="I17" i="11"/>
  <c r="E19" i="11"/>
  <c r="E21" i="11"/>
  <c r="C3" i="6"/>
  <c r="I25" i="6"/>
  <c r="Q25" i="6"/>
  <c r="C14" i="8"/>
  <c r="G25" i="8"/>
  <c r="G19" i="7"/>
  <c r="G19" i="9"/>
  <c r="H25" i="10"/>
  <c r="J25" i="6"/>
  <c r="U23" i="8" l="1"/>
  <c r="M23" i="8"/>
  <c r="E23" i="8"/>
  <c r="T23" i="8"/>
  <c r="L23" i="8"/>
  <c r="D23" i="8"/>
  <c r="S23" i="8"/>
  <c r="K23" i="8"/>
  <c r="C23" i="8"/>
  <c r="R23" i="8"/>
  <c r="J23" i="8"/>
  <c r="Q23" i="8"/>
  <c r="I23" i="8"/>
  <c r="O23" i="8"/>
  <c r="G23" i="8"/>
  <c r="V23" i="8"/>
  <c r="N23" i="8"/>
  <c r="F23" i="8"/>
  <c r="H23" i="8"/>
  <c r="P23" i="8"/>
  <c r="V23" i="10"/>
  <c r="N23" i="10"/>
  <c r="F23" i="10"/>
  <c r="U23" i="10"/>
  <c r="M23" i="10"/>
  <c r="E23" i="10"/>
  <c r="T23" i="10"/>
  <c r="L23" i="10"/>
  <c r="D23" i="10"/>
  <c r="S23" i="10"/>
  <c r="K23" i="10"/>
  <c r="C23" i="10"/>
  <c r="R23" i="10"/>
  <c r="J23" i="10"/>
  <c r="P23" i="10"/>
  <c r="H23" i="10"/>
  <c r="O23" i="10"/>
  <c r="G23" i="10"/>
  <c r="Q23" i="10"/>
  <c r="I23" i="10"/>
  <c r="AK29" i="13"/>
  <c r="AM29" i="13"/>
  <c r="AL29" i="13"/>
  <c r="Q32" i="13"/>
  <c r="N34" i="13"/>
  <c r="M34" i="13" s="1"/>
  <c r="AJ34" i="13" s="1"/>
  <c r="L34" i="13"/>
  <c r="Q34" i="13" s="1"/>
  <c r="T34" i="13"/>
  <c r="U34" i="13"/>
  <c r="G14" i="8"/>
  <c r="C15" i="8"/>
  <c r="AD443" i="4"/>
  <c r="X442" i="4"/>
  <c r="AB440" i="4"/>
  <c r="AF438" i="4"/>
  <c r="Z437" i="4"/>
  <c r="AD435" i="4"/>
  <c r="X434" i="4"/>
  <c r="AF444" i="4"/>
  <c r="Z443" i="4"/>
  <c r="AD441" i="4"/>
  <c r="X440" i="4"/>
  <c r="AB438" i="4"/>
  <c r="AF436" i="4"/>
  <c r="Z435" i="4"/>
  <c r="AD433" i="4"/>
  <c r="AD444" i="4"/>
  <c r="X443" i="4"/>
  <c r="AB441" i="4"/>
  <c r="AF439" i="4"/>
  <c r="Z438" i="4"/>
  <c r="AD436" i="4"/>
  <c r="X435" i="4"/>
  <c r="AB433" i="4"/>
  <c r="Z444" i="4"/>
  <c r="AD442" i="4"/>
  <c r="X441" i="4"/>
  <c r="AB439" i="4"/>
  <c r="AF437" i="4"/>
  <c r="Z436" i="4"/>
  <c r="AD434" i="4"/>
  <c r="X433" i="4"/>
  <c r="X444" i="4"/>
  <c r="AB442" i="4"/>
  <c r="AF440" i="4"/>
  <c r="Z439" i="4"/>
  <c r="AD437" i="4"/>
  <c r="X436" i="4"/>
  <c r="AB434" i="4"/>
  <c r="Z442" i="4"/>
  <c r="X438" i="4"/>
  <c r="AF433" i="4"/>
  <c r="AF441" i="4"/>
  <c r="AB437" i="4"/>
  <c r="Z433" i="4"/>
  <c r="Z441" i="4"/>
  <c r="X437" i="4"/>
  <c r="AD440" i="4"/>
  <c r="AB436" i="4"/>
  <c r="AB444" i="4"/>
  <c r="Z440" i="4"/>
  <c r="AF435" i="4"/>
  <c r="AB443" i="4"/>
  <c r="X439" i="4"/>
  <c r="AF434" i="4"/>
  <c r="AF442" i="4"/>
  <c r="AD438" i="4"/>
  <c r="Z434" i="4"/>
  <c r="AF443" i="4"/>
  <c r="AD439" i="4"/>
  <c r="AB435" i="4"/>
  <c r="X246" i="4"/>
  <c r="S246" i="4"/>
  <c r="R246" i="4"/>
  <c r="J251" i="4"/>
  <c r="L251" i="4" s="1"/>
  <c r="I251" i="4"/>
  <c r="G251" i="4"/>
  <c r="Q228" i="4"/>
  <c r="H228" i="4"/>
  <c r="N228" i="4"/>
  <c r="F228" i="4"/>
  <c r="J254" i="4"/>
  <c r="L254" i="4" s="1"/>
  <c r="I254" i="4"/>
  <c r="G254" i="4"/>
  <c r="G245" i="4"/>
  <c r="J245" i="4"/>
  <c r="L245" i="4" s="1"/>
  <c r="I245" i="4"/>
  <c r="S257" i="4"/>
  <c r="R257" i="4"/>
  <c r="X257" i="4"/>
  <c r="O20" i="13"/>
  <c r="P20" i="13"/>
  <c r="U41" i="13"/>
  <c r="Q41" i="13" s="1"/>
  <c r="N41" i="13"/>
  <c r="M41" i="13" s="1"/>
  <c r="AJ41" i="13" s="1"/>
  <c r="T14" i="13"/>
  <c r="L14" i="13"/>
  <c r="N14" i="13"/>
  <c r="M14" i="13" s="1"/>
  <c r="AJ14" i="13" s="1"/>
  <c r="U14" i="13"/>
  <c r="L47" i="13"/>
  <c r="N42" i="13"/>
  <c r="M42" i="13" s="1"/>
  <c r="AJ42" i="13" s="1"/>
  <c r="L42" i="13"/>
  <c r="Q42" i="13" s="1"/>
  <c r="U42" i="13"/>
  <c r="N30" i="13"/>
  <c r="M30" i="13" s="1"/>
  <c r="AJ30" i="13" s="1"/>
  <c r="U30" i="13"/>
  <c r="L30" i="13"/>
  <c r="Q30" i="13" s="1"/>
  <c r="L62" i="13"/>
  <c r="Q62" i="13" s="1"/>
  <c r="U62" i="13"/>
  <c r="N62" i="13"/>
  <c r="M62" i="13" s="1"/>
  <c r="AJ62" i="13" s="1"/>
  <c r="AM62" i="13" s="1"/>
  <c r="T25" i="13"/>
  <c r="T62" i="13"/>
  <c r="BW249" i="4"/>
  <c r="K249" i="4"/>
  <c r="M249" i="4"/>
  <c r="AL36" i="13"/>
  <c r="AK36" i="13"/>
  <c r="AM36" i="13"/>
  <c r="U50" i="13"/>
  <c r="N50" i="13"/>
  <c r="M50" i="13" s="1"/>
  <c r="L50" i="13"/>
  <c r="I242" i="4"/>
  <c r="J242" i="4"/>
  <c r="L242" i="4" s="1"/>
  <c r="G242" i="4"/>
  <c r="J248" i="4"/>
  <c r="L248" i="4" s="1"/>
  <c r="I248" i="4"/>
  <c r="G248" i="4"/>
  <c r="I257" i="4"/>
  <c r="G257" i="4"/>
  <c r="J257" i="4"/>
  <c r="L257" i="4" s="1"/>
  <c r="S249" i="4"/>
  <c r="R249" i="4"/>
  <c r="X249" i="4"/>
  <c r="N21" i="13"/>
  <c r="M21" i="13" s="1"/>
  <c r="AJ21" i="13" s="1"/>
  <c r="U21" i="13"/>
  <c r="N19" i="13"/>
  <c r="M19" i="13" s="1"/>
  <c r="T19" i="13"/>
  <c r="U19" i="13"/>
  <c r="L19" i="13"/>
  <c r="Q19" i="13" s="1"/>
  <c r="U37" i="13"/>
  <c r="N37" i="13"/>
  <c r="M37" i="13" s="1"/>
  <c r="U40" i="13"/>
  <c r="N40" i="13"/>
  <c r="M40" i="13" s="1"/>
  <c r="AJ40" i="13" s="1"/>
  <c r="U52" i="13"/>
  <c r="N52" i="13"/>
  <c r="M52" i="13" s="1"/>
  <c r="AJ52" i="13" s="1"/>
  <c r="AM52" i="13" s="1"/>
  <c r="L52" i="13"/>
  <c r="T52" i="13"/>
  <c r="N38" i="13"/>
  <c r="M38" i="13" s="1"/>
  <c r="AJ38" i="13" s="1"/>
  <c r="L38" i="13"/>
  <c r="U38" i="13"/>
  <c r="T38" i="13"/>
  <c r="U53" i="13"/>
  <c r="N53" i="13"/>
  <c r="M53" i="13" s="1"/>
  <c r="AJ53" i="13" s="1"/>
  <c r="AM53" i="13" s="1"/>
  <c r="L53" i="13"/>
  <c r="L37" i="13"/>
  <c r="G241" i="4"/>
  <c r="I241" i="4"/>
  <c r="J241" i="4"/>
  <c r="L241" i="4" s="1"/>
  <c r="O22" i="13"/>
  <c r="P22" i="13"/>
  <c r="U25" i="13"/>
  <c r="N25" i="13"/>
  <c r="M25" i="13" s="1"/>
  <c r="AJ25" i="13" s="1"/>
  <c r="G77" i="4"/>
  <c r="G76" i="4"/>
  <c r="G73" i="4"/>
  <c r="G71" i="4"/>
  <c r="G69" i="4"/>
  <c r="G74" i="4"/>
  <c r="G72" i="4"/>
  <c r="G75" i="4"/>
  <c r="G70" i="4"/>
  <c r="I231" i="4"/>
  <c r="G231" i="4"/>
  <c r="J231" i="4"/>
  <c r="L231" i="4" s="1"/>
  <c r="G225" i="4"/>
  <c r="J225" i="4"/>
  <c r="L225" i="4" s="1"/>
  <c r="I225" i="4"/>
  <c r="S251" i="4"/>
  <c r="R251" i="4"/>
  <c r="X251" i="4"/>
  <c r="J227" i="4"/>
  <c r="L227" i="4" s="1"/>
  <c r="I227" i="4"/>
  <c r="G227" i="4"/>
  <c r="X241" i="4"/>
  <c r="S241" i="4"/>
  <c r="R241" i="4"/>
  <c r="U28" i="13"/>
  <c r="N28" i="13"/>
  <c r="M28" i="13" s="1"/>
  <c r="Q57" i="13"/>
  <c r="N15" i="13"/>
  <c r="M15" i="13" s="1"/>
  <c r="AJ15" i="13" s="1"/>
  <c r="U15" i="13"/>
  <c r="Q15" i="13" s="1"/>
  <c r="T15" i="13"/>
  <c r="N31" i="13"/>
  <c r="M31" i="13" s="1"/>
  <c r="U31" i="13"/>
  <c r="L31" i="13"/>
  <c r="Q31" i="13" s="1"/>
  <c r="U54" i="13"/>
  <c r="N54" i="13"/>
  <c r="M54" i="13" s="1"/>
  <c r="AJ54" i="13" s="1"/>
  <c r="AM54" i="13" s="1"/>
  <c r="L54" i="13"/>
  <c r="Q54" i="13" s="1"/>
  <c r="U58" i="13"/>
  <c r="N58" i="13"/>
  <c r="M58" i="13" s="1"/>
  <c r="AJ58" i="13" s="1"/>
  <c r="AM58" i="13" s="1"/>
  <c r="L58" i="13"/>
  <c r="Q58" i="13" s="1"/>
  <c r="T40" i="13"/>
  <c r="T28" i="13"/>
  <c r="T41" i="13"/>
  <c r="L24" i="13"/>
  <c r="Q24" i="13" s="1"/>
  <c r="N24" i="13"/>
  <c r="M24" i="13" s="1"/>
  <c r="U24" i="13"/>
  <c r="W29" i="13"/>
  <c r="R229" i="4"/>
  <c r="S229" i="4"/>
  <c r="AK22" i="13"/>
  <c r="AM22" i="13"/>
  <c r="AL22" i="13"/>
  <c r="C4" i="6"/>
  <c r="C11" i="6" s="1"/>
  <c r="I224" i="4"/>
  <c r="J224" i="4"/>
  <c r="L224" i="4" s="1"/>
  <c r="G224" i="4"/>
  <c r="J255" i="4"/>
  <c r="L255" i="4" s="1"/>
  <c r="I255" i="4"/>
  <c r="G255" i="4"/>
  <c r="S258" i="4"/>
  <c r="R258" i="4"/>
  <c r="X258" i="4"/>
  <c r="X240" i="4"/>
  <c r="S240" i="4"/>
  <c r="R240" i="4"/>
  <c r="R232" i="4"/>
  <c r="S232" i="4"/>
  <c r="K258" i="4"/>
  <c r="M258" i="4"/>
  <c r="X253" i="4"/>
  <c r="S253" i="4"/>
  <c r="R253" i="4"/>
  <c r="R141" i="4"/>
  <c r="O140" i="4"/>
  <c r="R137" i="4"/>
  <c r="O136" i="4"/>
  <c r="R133" i="4"/>
  <c r="O132" i="4"/>
  <c r="R129" i="4"/>
  <c r="O128" i="4"/>
  <c r="R125" i="4"/>
  <c r="O124" i="4"/>
  <c r="R121" i="4"/>
  <c r="O120" i="4"/>
  <c r="R117" i="4"/>
  <c r="O116" i="4"/>
  <c r="R113" i="4"/>
  <c r="O112" i="4"/>
  <c r="R109" i="4"/>
  <c r="O108" i="4"/>
  <c r="R105" i="4"/>
  <c r="O104" i="4"/>
  <c r="O101" i="4"/>
  <c r="Q142" i="4"/>
  <c r="Q138" i="4"/>
  <c r="Q134" i="4"/>
  <c r="Q130" i="4"/>
  <c r="Q126" i="4"/>
  <c r="Q122" i="4"/>
  <c r="Q118" i="4"/>
  <c r="Q114" i="4"/>
  <c r="Q110" i="4"/>
  <c r="Q106" i="4"/>
  <c r="Q102" i="4"/>
  <c r="Q100" i="4"/>
  <c r="O141" i="4"/>
  <c r="O138" i="4"/>
  <c r="O135" i="4"/>
  <c r="R127" i="4"/>
  <c r="R124" i="4"/>
  <c r="Q121" i="4"/>
  <c r="R118" i="4"/>
  <c r="Q115" i="4"/>
  <c r="Q112" i="4"/>
  <c r="O109" i="4"/>
  <c r="O106" i="4"/>
  <c r="O103" i="4"/>
  <c r="Q101" i="4"/>
  <c r="O81" i="4"/>
  <c r="Q79" i="4"/>
  <c r="R72" i="4"/>
  <c r="Q71" i="4"/>
  <c r="R70" i="4"/>
  <c r="R69" i="4"/>
  <c r="V27" i="4"/>
  <c r="N27" i="4"/>
  <c r="F27" i="4"/>
  <c r="T25" i="4"/>
  <c r="L25" i="4"/>
  <c r="D25" i="4"/>
  <c r="T19" i="4"/>
  <c r="L19" i="4"/>
  <c r="D19" i="4"/>
  <c r="R17" i="4"/>
  <c r="J17" i="4"/>
  <c r="R139" i="4"/>
  <c r="R136" i="4"/>
  <c r="Q133" i="4"/>
  <c r="R130" i="4"/>
  <c r="Q127" i="4"/>
  <c r="Q124" i="4"/>
  <c r="O121" i="4"/>
  <c r="O118" i="4"/>
  <c r="O115" i="4"/>
  <c r="R107" i="4"/>
  <c r="R104" i="4"/>
  <c r="R98" i="4"/>
  <c r="R96" i="4"/>
  <c r="R94" i="4"/>
  <c r="R92" i="4"/>
  <c r="R90" i="4"/>
  <c r="R88" i="4"/>
  <c r="R86" i="4"/>
  <c r="R84" i="4"/>
  <c r="R82" i="4"/>
  <c r="O79" i="4"/>
  <c r="R74" i="4"/>
  <c r="R73" i="4"/>
  <c r="Q72" i="4"/>
  <c r="O71" i="4"/>
  <c r="Q70" i="4"/>
  <c r="Q69" i="4"/>
  <c r="U27" i="4"/>
  <c r="M27" i="4"/>
  <c r="E27" i="4"/>
  <c r="S25" i="4"/>
  <c r="K25" i="4"/>
  <c r="C25" i="4"/>
  <c r="S19" i="4"/>
  <c r="K19" i="4"/>
  <c r="C19" i="4"/>
  <c r="Q17" i="4"/>
  <c r="I17" i="4"/>
  <c r="R142" i="4"/>
  <c r="Q139" i="4"/>
  <c r="Q136" i="4"/>
  <c r="O133" i="4"/>
  <c r="O130" i="4"/>
  <c r="O127" i="4"/>
  <c r="R119" i="4"/>
  <c r="R116" i="4"/>
  <c r="Q113" i="4"/>
  <c r="R110" i="4"/>
  <c r="Q107" i="4"/>
  <c r="Q104" i="4"/>
  <c r="R100" i="4"/>
  <c r="Q98" i="4"/>
  <c r="Q96" i="4"/>
  <c r="Q94" i="4"/>
  <c r="Q92" i="4"/>
  <c r="Q90" i="4"/>
  <c r="Q88" i="4"/>
  <c r="Q86" i="4"/>
  <c r="Q84" i="4"/>
  <c r="Q82" i="4"/>
  <c r="R75" i="4"/>
  <c r="Q74" i="4"/>
  <c r="Q73" i="4"/>
  <c r="O72" i="4"/>
  <c r="O70" i="4"/>
  <c r="O69" i="4"/>
  <c r="O142" i="4"/>
  <c r="O139" i="4"/>
  <c r="R131" i="4"/>
  <c r="R128" i="4"/>
  <c r="Q125" i="4"/>
  <c r="R122" i="4"/>
  <c r="Q119" i="4"/>
  <c r="Q116" i="4"/>
  <c r="O113" i="4"/>
  <c r="O110" i="4"/>
  <c r="O107" i="4"/>
  <c r="O100" i="4"/>
  <c r="O98" i="4"/>
  <c r="O96" i="4"/>
  <c r="O94" i="4"/>
  <c r="O92" i="4"/>
  <c r="O90" i="4"/>
  <c r="O88" i="4"/>
  <c r="O86" i="4"/>
  <c r="O84" i="4"/>
  <c r="O82" i="4"/>
  <c r="R80" i="4"/>
  <c r="R77" i="4"/>
  <c r="R76" i="4"/>
  <c r="Q75" i="4"/>
  <c r="O74" i="4"/>
  <c r="O73" i="4"/>
  <c r="S27" i="4"/>
  <c r="K27" i="4"/>
  <c r="C27" i="4"/>
  <c r="Q25" i="4"/>
  <c r="I25" i="4"/>
  <c r="Q19" i="4"/>
  <c r="I19" i="4"/>
  <c r="W17" i="4"/>
  <c r="O17" i="4"/>
  <c r="G17" i="4"/>
  <c r="Q141" i="4"/>
  <c r="R138" i="4"/>
  <c r="Q135" i="4"/>
  <c r="Q132" i="4"/>
  <c r="O129" i="4"/>
  <c r="O126" i="4"/>
  <c r="O123" i="4"/>
  <c r="R115" i="4"/>
  <c r="R112" i="4"/>
  <c r="Q109" i="4"/>
  <c r="R106" i="4"/>
  <c r="Q103" i="4"/>
  <c r="R101" i="4"/>
  <c r="O99" i="4"/>
  <c r="O97" i="4"/>
  <c r="O95" i="4"/>
  <c r="O93" i="4"/>
  <c r="O91" i="4"/>
  <c r="O89" i="4"/>
  <c r="O87" i="4"/>
  <c r="O85" i="4"/>
  <c r="O83" i="4"/>
  <c r="Q81" i="4"/>
  <c r="R79" i="4"/>
  <c r="R71" i="4"/>
  <c r="W27" i="4"/>
  <c r="O27" i="4"/>
  <c r="G27" i="4"/>
  <c r="U25" i="4"/>
  <c r="M25" i="4"/>
  <c r="E25" i="4"/>
  <c r="U19" i="4"/>
  <c r="M19" i="4"/>
  <c r="E19" i="4"/>
  <c r="S17" i="4"/>
  <c r="K17" i="4"/>
  <c r="C17" i="4"/>
  <c r="R134" i="4"/>
  <c r="R132" i="4"/>
  <c r="Q128" i="4"/>
  <c r="R111" i="4"/>
  <c r="O105" i="4"/>
  <c r="R99" i="4"/>
  <c r="R95" i="4"/>
  <c r="R91" i="4"/>
  <c r="R87" i="4"/>
  <c r="R83" i="4"/>
  <c r="O80" i="4"/>
  <c r="Q76" i="4"/>
  <c r="I27" i="4"/>
  <c r="O25" i="4"/>
  <c r="H19" i="4"/>
  <c r="N17" i="4"/>
  <c r="R140" i="4"/>
  <c r="O134" i="4"/>
  <c r="Q111" i="4"/>
  <c r="Q99" i="4"/>
  <c r="Q95" i="4"/>
  <c r="Q91" i="4"/>
  <c r="Q87" i="4"/>
  <c r="Q83" i="4"/>
  <c r="O76" i="4"/>
  <c r="H27" i="4"/>
  <c r="N25" i="4"/>
  <c r="W19" i="4"/>
  <c r="G19" i="4"/>
  <c r="M17" i="4"/>
  <c r="Q140" i="4"/>
  <c r="R123" i="4"/>
  <c r="Q117" i="4"/>
  <c r="O111" i="4"/>
  <c r="Q77" i="4"/>
  <c r="T27" i="4"/>
  <c r="D27" i="4"/>
  <c r="J25" i="4"/>
  <c r="V19" i="4"/>
  <c r="F19" i="4"/>
  <c r="L17" i="4"/>
  <c r="O125" i="4"/>
  <c r="Q123" i="4"/>
  <c r="O119" i="4"/>
  <c r="O117" i="4"/>
  <c r="R102" i="4"/>
  <c r="O77" i="4"/>
  <c r="R27" i="4"/>
  <c r="H25" i="4"/>
  <c r="R19" i="4"/>
  <c r="H17" i="4"/>
  <c r="Q137" i="4"/>
  <c r="R135" i="4"/>
  <c r="Q131" i="4"/>
  <c r="Q129" i="4"/>
  <c r="R108" i="4"/>
  <c r="O102" i="4"/>
  <c r="R97" i="4"/>
  <c r="R93" i="4"/>
  <c r="R89" i="4"/>
  <c r="R85" i="4"/>
  <c r="R78" i="4"/>
  <c r="Q27" i="4"/>
  <c r="W25" i="4"/>
  <c r="G25" i="4"/>
  <c r="P19" i="4"/>
  <c r="V17" i="4"/>
  <c r="F17" i="4"/>
  <c r="R120" i="4"/>
  <c r="O114" i="4"/>
  <c r="O78" i="4"/>
  <c r="L27" i="4"/>
  <c r="R25" i="4"/>
  <c r="N19" i="4"/>
  <c r="T17" i="4"/>
  <c r="D17" i="4"/>
  <c r="R126" i="4"/>
  <c r="O122" i="4"/>
  <c r="Q120" i="4"/>
  <c r="Q105" i="4"/>
  <c r="R103" i="4"/>
  <c r="Q80" i="4"/>
  <c r="J27" i="4"/>
  <c r="P25" i="4"/>
  <c r="J19" i="4"/>
  <c r="P17" i="4"/>
  <c r="R114" i="4"/>
  <c r="Q89" i="4"/>
  <c r="O137" i="4"/>
  <c r="V25" i="4"/>
  <c r="E17" i="4"/>
  <c r="Q85" i="4"/>
  <c r="F25" i="4"/>
  <c r="Q108" i="4"/>
  <c r="Q97" i="4"/>
  <c r="O131" i="4"/>
  <c r="Q78" i="4"/>
  <c r="O19" i="4"/>
  <c r="Q93" i="4"/>
  <c r="U17" i="4"/>
  <c r="R81" i="4"/>
  <c r="O75" i="4"/>
  <c r="P27" i="4"/>
  <c r="M240" i="4"/>
  <c r="AG240" i="4" s="1"/>
  <c r="BA240" i="4"/>
  <c r="K240" i="4"/>
  <c r="AX240" i="4"/>
  <c r="BW240" i="4"/>
  <c r="N61" i="13"/>
  <c r="M61" i="13" s="1"/>
  <c r="AJ61" i="13" s="1"/>
  <c r="AM61" i="13" s="1"/>
  <c r="U61" i="13"/>
  <c r="L61" i="13"/>
  <c r="N16" i="13"/>
  <c r="M16" i="13" s="1"/>
  <c r="U16" i="13"/>
  <c r="N39" i="13"/>
  <c r="M39" i="13" s="1"/>
  <c r="U39" i="13"/>
  <c r="U59" i="13"/>
  <c r="L59" i="13"/>
  <c r="Q59" i="13" s="1"/>
  <c r="N59" i="13"/>
  <c r="M59" i="13" s="1"/>
  <c r="AJ59" i="13" s="1"/>
  <c r="AM59" i="13" s="1"/>
  <c r="U60" i="13"/>
  <c r="N60" i="13"/>
  <c r="M60" i="13" s="1"/>
  <c r="AJ60" i="13" s="1"/>
  <c r="AM60" i="13" s="1"/>
  <c r="L28" i="13"/>
  <c r="Q28" i="13" s="1"/>
  <c r="U13" i="13"/>
  <c r="N13" i="13"/>
  <c r="M13" i="13" s="1"/>
  <c r="AJ13" i="13" s="1"/>
  <c r="T13" i="13"/>
  <c r="P36" i="13"/>
  <c r="O36" i="13"/>
  <c r="W36" i="13" s="1"/>
  <c r="G230" i="4"/>
  <c r="J230" i="4"/>
  <c r="L230" i="4" s="1"/>
  <c r="I230" i="4"/>
  <c r="U56" i="13"/>
  <c r="N56" i="13"/>
  <c r="M56" i="13" s="1"/>
  <c r="AJ56" i="13" s="1"/>
  <c r="AM56" i="13" s="1"/>
  <c r="L56" i="13"/>
  <c r="Q56" i="13" s="1"/>
  <c r="G256" i="4"/>
  <c r="J256" i="4"/>
  <c r="L256" i="4" s="1"/>
  <c r="I256" i="4"/>
  <c r="S244" i="4"/>
  <c r="R244" i="4"/>
  <c r="X244" i="4"/>
  <c r="G229" i="4"/>
  <c r="J229" i="4"/>
  <c r="L229" i="4" s="1"/>
  <c r="I229" i="4"/>
  <c r="S226" i="4"/>
  <c r="R226" i="4"/>
  <c r="J253" i="4"/>
  <c r="L253" i="4" s="1"/>
  <c r="I253" i="4"/>
  <c r="G253" i="4"/>
  <c r="U17" i="13"/>
  <c r="N17" i="13"/>
  <c r="M17" i="13" s="1"/>
  <c r="O12" i="13"/>
  <c r="P12" i="13"/>
  <c r="O57" i="13"/>
  <c r="P57" i="13"/>
  <c r="N47" i="13"/>
  <c r="M47" i="13" s="1"/>
  <c r="AJ47" i="13" s="1"/>
  <c r="AM47" i="13" s="1"/>
  <c r="U47" i="13"/>
  <c r="N27" i="13"/>
  <c r="M27" i="13" s="1"/>
  <c r="U27" i="13"/>
  <c r="T21" i="13"/>
  <c r="T37" i="13"/>
  <c r="T48" i="13"/>
  <c r="T50" i="13"/>
  <c r="L27" i="13"/>
  <c r="Q27" i="13" s="1"/>
  <c r="AM20" i="13"/>
  <c r="AL20" i="13"/>
  <c r="AK20" i="13"/>
  <c r="Q20" i="13"/>
  <c r="J247" i="4"/>
  <c r="L247" i="4" s="1"/>
  <c r="I247" i="4"/>
  <c r="G247" i="4"/>
  <c r="S248" i="4"/>
  <c r="R248" i="4"/>
  <c r="X248" i="4"/>
  <c r="S225" i="4"/>
  <c r="R225" i="4"/>
  <c r="J244" i="4"/>
  <c r="L244" i="4" s="1"/>
  <c r="I244" i="4"/>
  <c r="G244" i="4"/>
  <c r="G223" i="4"/>
  <c r="J223" i="4"/>
  <c r="L223" i="4" s="1"/>
  <c r="I223" i="4"/>
  <c r="X243" i="4"/>
  <c r="S243" i="4"/>
  <c r="R243" i="4"/>
  <c r="K226" i="4"/>
  <c r="M226" i="4"/>
  <c r="BW252" i="4"/>
  <c r="K252" i="4"/>
  <c r="M252" i="4"/>
  <c r="N51" i="13"/>
  <c r="M51" i="13" s="1"/>
  <c r="AJ51" i="13" s="1"/>
  <c r="AM51" i="13" s="1"/>
  <c r="U51" i="13"/>
  <c r="L51" i="13"/>
  <c r="Q60" i="13"/>
  <c r="T27" i="13"/>
  <c r="U32" i="13"/>
  <c r="N32" i="13"/>
  <c r="M32" i="13" s="1"/>
  <c r="AJ32" i="13" s="1"/>
  <c r="N55" i="13"/>
  <c r="M55" i="13" s="1"/>
  <c r="L55" i="13"/>
  <c r="U55" i="13"/>
  <c r="N35" i="13"/>
  <c r="M35" i="13" s="1"/>
  <c r="AJ35" i="13" s="1"/>
  <c r="U35" i="13"/>
  <c r="T35" i="13"/>
  <c r="L35" i="13"/>
  <c r="T53" i="13"/>
  <c r="T51" i="13"/>
  <c r="T54" i="13"/>
  <c r="L21" i="13"/>
  <c r="Q21" i="13" s="1"/>
  <c r="L39" i="13"/>
  <c r="L17" i="13"/>
  <c r="Q17" i="13" s="1"/>
  <c r="I466" i="4"/>
  <c r="I465" i="4"/>
  <c r="I463" i="4"/>
  <c r="I464" i="4"/>
  <c r="G14" i="6"/>
  <c r="C15" i="6"/>
  <c r="S255" i="4"/>
  <c r="R255" i="4"/>
  <c r="X255" i="4"/>
  <c r="R256" i="4"/>
  <c r="S256" i="4"/>
  <c r="X256" i="4"/>
  <c r="S252" i="4"/>
  <c r="R252" i="4"/>
  <c r="X252" i="4"/>
  <c r="J243" i="4"/>
  <c r="L243" i="4" s="1"/>
  <c r="G243" i="4"/>
  <c r="I243" i="4"/>
  <c r="N23" i="13"/>
  <c r="M23" i="13" s="1"/>
  <c r="AJ23" i="13" s="1"/>
  <c r="T23" i="13"/>
  <c r="U23" i="13"/>
  <c r="N48" i="13"/>
  <c r="M48" i="13" s="1"/>
  <c r="AJ48" i="13" s="1"/>
  <c r="AM48" i="13" s="1"/>
  <c r="U48" i="13"/>
  <c r="U33" i="13"/>
  <c r="Q33" i="13" s="1"/>
  <c r="N33" i="13"/>
  <c r="M33" i="13" s="1"/>
  <c r="AJ33" i="13" s="1"/>
  <c r="N26" i="13"/>
  <c r="M26" i="13" s="1"/>
  <c r="AJ26" i="13" s="1"/>
  <c r="U26" i="13"/>
  <c r="Q26" i="13" s="1"/>
  <c r="T26" i="13"/>
  <c r="U49" i="13"/>
  <c r="L49" i="13"/>
  <c r="N49" i="13"/>
  <c r="M49" i="13" s="1"/>
  <c r="AJ49" i="13" s="1"/>
  <c r="AM49" i="13" s="1"/>
  <c r="N43" i="13"/>
  <c r="M43" i="13" s="1"/>
  <c r="AJ43" i="13" s="1"/>
  <c r="U43" i="13"/>
  <c r="L43" i="13"/>
  <c r="Q43" i="13" s="1"/>
  <c r="T18" i="13"/>
  <c r="N18" i="13"/>
  <c r="M18" i="13" s="1"/>
  <c r="AJ18" i="13" s="1"/>
  <c r="U18" i="13"/>
  <c r="L18" i="13"/>
  <c r="L16" i="13"/>
  <c r="Q16" i="13" s="1"/>
  <c r="Q22" i="13"/>
  <c r="Q13" i="13"/>
  <c r="AJ16" i="13" l="1"/>
  <c r="O38" i="13"/>
  <c r="P38" i="13"/>
  <c r="P40" i="13"/>
  <c r="O40" i="13"/>
  <c r="AM21" i="13"/>
  <c r="AK21" i="13"/>
  <c r="AL21" i="13"/>
  <c r="BW248" i="4"/>
  <c r="K248" i="4"/>
  <c r="M248" i="4"/>
  <c r="AM42" i="13"/>
  <c r="AL42" i="13"/>
  <c r="AK42" i="13"/>
  <c r="BA251" i="4"/>
  <c r="BW251" i="4"/>
  <c r="K251" i="4"/>
  <c r="M251" i="4"/>
  <c r="AZ251" i="4"/>
  <c r="Q18" i="13"/>
  <c r="Q49" i="13"/>
  <c r="Q39" i="13"/>
  <c r="AM35" i="13"/>
  <c r="AL35" i="13"/>
  <c r="AK35" i="13"/>
  <c r="Q51" i="13"/>
  <c r="M244" i="4"/>
  <c r="AG244" i="4" s="1"/>
  <c r="K244" i="4"/>
  <c r="BW244" i="4"/>
  <c r="BW247" i="4"/>
  <c r="K247" i="4"/>
  <c r="M247" i="4"/>
  <c r="AG247" i="4" s="1"/>
  <c r="W57" i="13"/>
  <c r="M256" i="4"/>
  <c r="K256" i="4"/>
  <c r="P60" i="13"/>
  <c r="O60" i="13"/>
  <c r="Q61" i="13"/>
  <c r="K255" i="4"/>
  <c r="M255" i="4"/>
  <c r="P54" i="13"/>
  <c r="O54" i="13"/>
  <c r="AJ28" i="13"/>
  <c r="M231" i="4"/>
  <c r="K231" i="4"/>
  <c r="K241" i="4"/>
  <c r="BW241" i="4"/>
  <c r="M241" i="4"/>
  <c r="AG241" i="4" s="1"/>
  <c r="Q38" i="13"/>
  <c r="AJ37" i="13"/>
  <c r="P62" i="13"/>
  <c r="O62" i="13"/>
  <c r="W62" i="13" s="1"/>
  <c r="Q47" i="13"/>
  <c r="W20" i="13"/>
  <c r="K254" i="4"/>
  <c r="M254" i="4"/>
  <c r="P18" i="13"/>
  <c r="O18" i="13"/>
  <c r="O49" i="13"/>
  <c r="P49" i="13"/>
  <c r="P23" i="13"/>
  <c r="O23" i="13"/>
  <c r="O55" i="13"/>
  <c r="P55" i="13"/>
  <c r="O51" i="13"/>
  <c r="W51" i="13" s="1"/>
  <c r="P51" i="13"/>
  <c r="O61" i="13"/>
  <c r="P61" i="13"/>
  <c r="P28" i="13"/>
  <c r="O28" i="13"/>
  <c r="AM38" i="13"/>
  <c r="AL38" i="13"/>
  <c r="AK38" i="13"/>
  <c r="P37" i="13"/>
  <c r="O37" i="13"/>
  <c r="P14" i="13"/>
  <c r="O14" i="13"/>
  <c r="Q23" i="13"/>
  <c r="O48" i="13"/>
  <c r="P48" i="13"/>
  <c r="P35" i="13"/>
  <c r="O35" i="13"/>
  <c r="AK18" i="13"/>
  <c r="AM18" i="13"/>
  <c r="AL18" i="13"/>
  <c r="Q55" i="13"/>
  <c r="W12" i="13"/>
  <c r="K229" i="4"/>
  <c r="M229" i="4"/>
  <c r="P31" i="13"/>
  <c r="O31" i="13"/>
  <c r="W31" i="13" s="1"/>
  <c r="Q37" i="13"/>
  <c r="AK14" i="13"/>
  <c r="AL14" i="13"/>
  <c r="AM14" i="13"/>
  <c r="I228" i="4"/>
  <c r="G228" i="4"/>
  <c r="J228" i="4"/>
  <c r="L228" i="4" s="1"/>
  <c r="O26" i="13"/>
  <c r="W26" i="13" s="1"/>
  <c r="P26" i="13"/>
  <c r="AM23" i="13"/>
  <c r="AK23" i="13"/>
  <c r="AL23" i="13"/>
  <c r="AJ55" i="13"/>
  <c r="AM55" i="13" s="1"/>
  <c r="O27" i="13"/>
  <c r="W27" i="13" s="1"/>
  <c r="P27" i="13"/>
  <c r="AJ17" i="13"/>
  <c r="O59" i="13"/>
  <c r="P59" i="13"/>
  <c r="AJ31" i="13"/>
  <c r="M225" i="4"/>
  <c r="K225" i="4"/>
  <c r="AK25" i="13"/>
  <c r="AL25" i="13"/>
  <c r="AM25" i="13"/>
  <c r="Q53" i="13"/>
  <c r="Q52" i="13"/>
  <c r="P19" i="13"/>
  <c r="O19" i="13"/>
  <c r="W19" i="13" s="1"/>
  <c r="M242" i="4"/>
  <c r="AG242" i="4" s="1"/>
  <c r="K242" i="4"/>
  <c r="BW242" i="4"/>
  <c r="O30" i="13"/>
  <c r="W30" i="13" s="1"/>
  <c r="P30" i="13"/>
  <c r="Q14" i="13"/>
  <c r="O34" i="13"/>
  <c r="P34" i="13"/>
  <c r="AM26" i="13"/>
  <c r="AL26" i="13"/>
  <c r="AK26" i="13"/>
  <c r="AL32" i="13"/>
  <c r="AK32" i="13"/>
  <c r="AM32" i="13"/>
  <c r="M223" i="4"/>
  <c r="K223" i="4"/>
  <c r="AJ27" i="13"/>
  <c r="P17" i="13"/>
  <c r="O17" i="13"/>
  <c r="AL13" i="13"/>
  <c r="AM13" i="13"/>
  <c r="AK13" i="13"/>
  <c r="P39" i="13"/>
  <c r="O39" i="13"/>
  <c r="W39" i="13" s="1"/>
  <c r="M224" i="4"/>
  <c r="K224" i="4"/>
  <c r="P25" i="13"/>
  <c r="O25" i="13"/>
  <c r="Q50" i="13"/>
  <c r="AM30" i="13"/>
  <c r="AK30" i="13"/>
  <c r="AL30" i="13"/>
  <c r="M245" i="4"/>
  <c r="AG245" i="4" s="1"/>
  <c r="BW245" i="4"/>
  <c r="K245" i="4"/>
  <c r="Q25" i="13"/>
  <c r="Q40" i="13"/>
  <c r="P43" i="13"/>
  <c r="O43" i="13"/>
  <c r="AK33" i="13"/>
  <c r="AM33" i="13"/>
  <c r="AL33" i="13"/>
  <c r="BW243" i="4"/>
  <c r="K243" i="4"/>
  <c r="M243" i="4"/>
  <c r="AG243" i="4" s="1"/>
  <c r="Q35" i="13"/>
  <c r="P32" i="13"/>
  <c r="O32" i="13"/>
  <c r="W32" i="13" s="1"/>
  <c r="P47" i="13"/>
  <c r="O47" i="13"/>
  <c r="O56" i="13"/>
  <c r="P56" i="13"/>
  <c r="P13" i="13"/>
  <c r="O13" i="13"/>
  <c r="W13" i="13" s="1"/>
  <c r="AJ39" i="13"/>
  <c r="C37" i="6"/>
  <c r="P24" i="13"/>
  <c r="O24" i="13"/>
  <c r="P58" i="13"/>
  <c r="O58" i="13"/>
  <c r="W58" i="13" s="1"/>
  <c r="O15" i="13"/>
  <c r="P15" i="13"/>
  <c r="O53" i="13"/>
  <c r="P53" i="13"/>
  <c r="P52" i="13"/>
  <c r="O52" i="13"/>
  <c r="AJ19" i="13"/>
  <c r="K257" i="4"/>
  <c r="M257" i="4"/>
  <c r="AJ50" i="13"/>
  <c r="AM50" i="13" s="1"/>
  <c r="P42" i="13"/>
  <c r="O42" i="13"/>
  <c r="W42" i="13" s="1"/>
  <c r="AL41" i="13"/>
  <c r="AK41" i="13"/>
  <c r="AM41" i="13"/>
  <c r="R228" i="4"/>
  <c r="S228" i="4"/>
  <c r="AM43" i="13"/>
  <c r="AL43" i="13"/>
  <c r="AK43" i="13"/>
  <c r="P33" i="13"/>
  <c r="O33" i="13"/>
  <c r="BW253" i="4"/>
  <c r="K253" i="4"/>
  <c r="M253" i="4"/>
  <c r="BA253" i="4"/>
  <c r="AZ253" i="4"/>
  <c r="M230" i="4"/>
  <c r="K230" i="4"/>
  <c r="O16" i="13"/>
  <c r="P16" i="13"/>
  <c r="O23" i="6"/>
  <c r="G23" i="6"/>
  <c r="V23" i="6"/>
  <c r="N23" i="6"/>
  <c r="F23" i="6"/>
  <c r="U23" i="6"/>
  <c r="M23" i="6"/>
  <c r="E23" i="6"/>
  <c r="T23" i="6"/>
  <c r="L23" i="6"/>
  <c r="D23" i="6"/>
  <c r="S23" i="6"/>
  <c r="K23" i="6"/>
  <c r="C23" i="6"/>
  <c r="Q23" i="6"/>
  <c r="I23" i="6"/>
  <c r="P23" i="6"/>
  <c r="H23" i="6"/>
  <c r="R23" i="6"/>
  <c r="J23" i="6"/>
  <c r="AJ24" i="13"/>
  <c r="AM15" i="13"/>
  <c r="AK15" i="13"/>
  <c r="AL15" i="13"/>
  <c r="K227" i="4"/>
  <c r="M227" i="4"/>
  <c r="W22" i="13"/>
  <c r="AL40" i="13"/>
  <c r="AK40" i="13"/>
  <c r="AM40" i="13"/>
  <c r="P21" i="13"/>
  <c r="O21" i="13"/>
  <c r="W21" i="13" s="1"/>
  <c r="P50" i="13"/>
  <c r="O50" i="13"/>
  <c r="P41" i="13"/>
  <c r="O41" i="13"/>
  <c r="AM34" i="13"/>
  <c r="AK34" i="13"/>
  <c r="AL34" i="13"/>
  <c r="Q48" i="13"/>
  <c r="M228" i="4" l="1"/>
  <c r="K228" i="4"/>
  <c r="AM24" i="13"/>
  <c r="AK24" i="13"/>
  <c r="AL24" i="13"/>
  <c r="W48" i="13"/>
  <c r="W55" i="13"/>
  <c r="W41" i="13"/>
  <c r="W53" i="13"/>
  <c r="AM39" i="13"/>
  <c r="AL39" i="13"/>
  <c r="AK39" i="13"/>
  <c r="W43" i="13"/>
  <c r="W34" i="13"/>
  <c r="AM31" i="13"/>
  <c r="AL31" i="13"/>
  <c r="AK31" i="13"/>
  <c r="W28" i="13"/>
  <c r="W23" i="13"/>
  <c r="W14" i="13"/>
  <c r="W60" i="13"/>
  <c r="W40" i="13"/>
  <c r="W50" i="13"/>
  <c r="W15" i="13"/>
  <c r="W59" i="13"/>
  <c r="W25" i="13"/>
  <c r="AL17" i="13"/>
  <c r="AK17" i="13"/>
  <c r="AM17" i="13"/>
  <c r="W37" i="13"/>
  <c r="W61" i="13"/>
  <c r="W49" i="13"/>
  <c r="AL28" i="13"/>
  <c r="AK28" i="13"/>
  <c r="AM28" i="13"/>
  <c r="AK19" i="13"/>
  <c r="AM19" i="13"/>
  <c r="AL19" i="13"/>
  <c r="W56" i="13"/>
  <c r="W17" i="13"/>
  <c r="W35" i="13"/>
  <c r="W18" i="13"/>
  <c r="AK37" i="13"/>
  <c r="AM37" i="13"/>
  <c r="AL37" i="13"/>
  <c r="W54" i="13"/>
  <c r="W38" i="13"/>
  <c r="AM27" i="13"/>
  <c r="AL27" i="13"/>
  <c r="AK27" i="13"/>
  <c r="W16" i="13"/>
  <c r="W33" i="13"/>
  <c r="W52" i="13"/>
  <c r="W24" i="13"/>
  <c r="W47" i="13"/>
  <c r="AM16" i="13"/>
  <c r="AL16" i="13"/>
  <c r="AK16" i="13"/>
</calcChain>
</file>

<file path=xl/sharedStrings.xml><?xml version="1.0" encoding="utf-8"?>
<sst xmlns="http://schemas.openxmlformats.org/spreadsheetml/2006/main" count="789" uniqueCount="297">
  <si>
    <t>30 нано</t>
  </si>
  <si>
    <t>60 нано</t>
  </si>
  <si>
    <t>12 нано</t>
  </si>
  <si>
    <t>6 нано</t>
  </si>
  <si>
    <t>3 нано</t>
  </si>
  <si>
    <t>аналит</t>
  </si>
  <si>
    <t>960 нано</t>
  </si>
  <si>
    <t>y</t>
  </si>
  <si>
    <t>n</t>
  </si>
  <si>
    <t>N-S</t>
  </si>
  <si>
    <t>A</t>
  </si>
  <si>
    <t>Kn</t>
  </si>
  <si>
    <t>k</t>
  </si>
  <si>
    <t>u_s</t>
  </si>
  <si>
    <t>Plane channel flow</t>
  </si>
  <si>
    <t xml:space="preserve">Канал 1000х200нм, перепад давления с 1 до 0.9 атм, расчет половины канала. Ниже профиль скорости - осреднение 30нс с шагом 0.3нс + осреднение по оси х </t>
  </si>
  <si>
    <t>vx</t>
  </si>
  <si>
    <t>mu</t>
  </si>
  <si>
    <t>m</t>
  </si>
  <si>
    <t>d</t>
  </si>
  <si>
    <t>А</t>
  </si>
  <si>
    <t>x10-20</t>
  </si>
  <si>
    <t>R</t>
  </si>
  <si>
    <t>T</t>
  </si>
  <si>
    <t>vx*</t>
  </si>
  <si>
    <t>h</t>
  </si>
  <si>
    <t>gradp</t>
  </si>
  <si>
    <t>dp</t>
  </si>
  <si>
    <t>L</t>
  </si>
  <si>
    <t>aver</t>
  </si>
  <si>
    <t>vx**</t>
  </si>
  <si>
    <t>ro</t>
  </si>
  <si>
    <t>lmbd</t>
  </si>
  <si>
    <t>Обезразмерено на gradp/2/mu*h^2</t>
  </si>
  <si>
    <t>gradp/2/mu*h^2</t>
  </si>
  <si>
    <t xml:space="preserve">Канал 1000х200нм, перепад давления с 1.2 до 0.7 атм, расчет половины канала. Ниже профиль скорости - осреднение 10нс с шагом 0.5нс + осреднение по оси х </t>
  </si>
  <si>
    <t xml:space="preserve">Канал 1000х200нм, перепад давления с 1 до 0.9 атм, расчет половины канала. Ниже профиль скорости - осреднение 20нс с шагом 0.5нс + осреднение по оси х </t>
  </si>
  <si>
    <t>J_mvx</t>
  </si>
  <si>
    <t>cell_dx</t>
  </si>
  <si>
    <t>cell_dy</t>
  </si>
  <si>
    <t>cell_dt</t>
  </si>
  <si>
    <t>с*10^-10</t>
  </si>
  <si>
    <t>tao</t>
  </si>
  <si>
    <t>Па</t>
  </si>
  <si>
    <t>10^-10 Н</t>
  </si>
  <si>
    <t>Па/м</t>
  </si>
  <si>
    <t>tao*</t>
  </si>
  <si>
    <t>p</t>
  </si>
  <si>
    <t>tao* Slip</t>
  </si>
  <si>
    <t xml:space="preserve">Другой градиент и Kn - Канал 1000х200нм, перепад давления с 1 до 0.9 атм, расчет половины канала. Ниже профиль скорости - осреднение 20нс с шагом 0.5нс + осреднение по оси х </t>
  </si>
  <si>
    <t xml:space="preserve">Другой градиент и Kn - Канал 1000х200нм, перепад давления с 1 до 0.9 атм, расчет половины канала. Ниже профиль скорости - осреднение 30нс с шагом 0.3нс + осреднение по оси х </t>
  </si>
  <si>
    <t>atm</t>
  </si>
  <si>
    <t>Берд</t>
  </si>
  <si>
    <t>sigm</t>
  </si>
  <si>
    <t>Sharipov</t>
  </si>
  <si>
    <t>2/sqrt(pi)</t>
  </si>
  <si>
    <t>ya</t>
  </si>
  <si>
    <t>Первый Кнудсен</t>
  </si>
  <si>
    <t>старое</t>
  </si>
  <si>
    <t>Второй Кнудсен</t>
  </si>
  <si>
    <t>установилось, новое</t>
  </si>
  <si>
    <t>установилось + неуст</t>
  </si>
  <si>
    <t>Расход</t>
  </si>
  <si>
    <t>EDMD</t>
  </si>
  <si>
    <t>G, кг/c10^-10</t>
  </si>
  <si>
    <t>dz</t>
  </si>
  <si>
    <t>m/sqrt(2)/pi/d^2</t>
  </si>
  <si>
    <t>1/Kn</t>
  </si>
  <si>
    <t>N-S Slip coef</t>
  </si>
  <si>
    <t>delta</t>
  </si>
  <si>
    <t>G*</t>
  </si>
  <si>
    <t>Номер</t>
  </si>
  <si>
    <t>Длинный канал 2000 х 50000 х 1000 А</t>
  </si>
  <si>
    <t>Q</t>
  </si>
  <si>
    <t>Q, L=10</t>
  </si>
  <si>
    <t>Q, L=60</t>
  </si>
  <si>
    <t>Q, L=100</t>
  </si>
  <si>
    <t>my</t>
  </si>
  <si>
    <t>L=100</t>
  </si>
  <si>
    <t>x</t>
  </si>
  <si>
    <t>mx</t>
  </si>
  <si>
    <t>L=60</t>
  </si>
  <si>
    <t>Cercignani, Neudachin ZAMP 1979 - from table</t>
  </si>
  <si>
    <t>Cercignani, Neudachin ZAMP 1979 - from figure</t>
  </si>
  <si>
    <t>L=10</t>
  </si>
  <si>
    <t>Cercignani, Neudachin: L=60</t>
  </si>
  <si>
    <t>EDMD L=50</t>
  </si>
  <si>
    <t>Jm</t>
  </si>
  <si>
    <t>Оценка для градиента</t>
  </si>
  <si>
    <t>Перепад давления 0,002 atm</t>
  </si>
  <si>
    <t>Оценка</t>
  </si>
  <si>
    <t>Q*</t>
  </si>
  <si>
    <t>Осреднение 10000 / 50</t>
  </si>
  <si>
    <t>EDMD L=50 (GA)</t>
  </si>
  <si>
    <t>Параметры расчета</t>
  </si>
  <si>
    <t>p1</t>
  </si>
  <si>
    <t>p2</t>
  </si>
  <si>
    <t>Freemol</t>
  </si>
  <si>
    <t>Подбор начальных условий для расчета канала L=30</t>
  </si>
  <si>
    <t>Lambda</t>
  </si>
  <si>
    <t>h, A</t>
  </si>
  <si>
    <t>p, Pa*10^10</t>
  </si>
  <si>
    <t>p, Pa</t>
  </si>
  <si>
    <t>p1, Pa*10^10</t>
  </si>
  <si>
    <t>p2, Pa*10^10</t>
  </si>
  <si>
    <t>h/2</t>
  </si>
  <si>
    <t>z</t>
  </si>
  <si>
    <t>N</t>
  </si>
  <si>
    <t>Рассчиталось за 10 часов на Лом</t>
  </si>
  <si>
    <t>Сохранение</t>
  </si>
  <si>
    <t>Счет</t>
  </si>
  <si>
    <t>Ср тепл скор</t>
  </si>
  <si>
    <t>cellsize, A</t>
  </si>
  <si>
    <t>Количество регионов</t>
  </si>
  <si>
    <t>т</t>
  </si>
  <si>
    <t>Производительность машин</t>
  </si>
  <si>
    <t>Ломоносов regular6</t>
  </si>
  <si>
    <t>МСЦ 100к</t>
  </si>
  <si>
    <t>Лаборатория</t>
  </si>
  <si>
    <t>Intel Xeon X5670</t>
  </si>
  <si>
    <t>Intel Xeon E5450 или X5670</t>
  </si>
  <si>
    <t>AMD Opteron 280</t>
  </si>
  <si>
    <t>Задача</t>
  </si>
  <si>
    <t>Скорость счета</t>
  </si>
  <si>
    <t>Колво файлов</t>
  </si>
  <si>
    <t>EDMD L=30</t>
  </si>
  <si>
    <t>Оптимальный размер ячейки</t>
  </si>
  <si>
    <t>test</t>
  </si>
  <si>
    <t>n=</t>
  </si>
  <si>
    <t>cs</t>
  </si>
  <si>
    <t>cs/delt</t>
  </si>
  <si>
    <t>regular6</t>
  </si>
  <si>
    <t>mol per cell</t>
  </si>
  <si>
    <t>dt=</t>
  </si>
  <si>
    <t>dt=5*10^-7</t>
  </si>
  <si>
    <t>dt=5*10^-5</t>
  </si>
  <si>
    <t>dt=1*10^-7</t>
  </si>
  <si>
    <t>dt=1*10^-6</t>
  </si>
  <si>
    <t>Средний модуль тепловой скорости</t>
  </si>
  <si>
    <t>dt</t>
  </si>
  <si>
    <t>Среднее время между пересечением границ</t>
  </si>
  <si>
    <t>dth</t>
  </si>
  <si>
    <t>opt</t>
  </si>
  <si>
    <t>1*10^-7</t>
  </si>
  <si>
    <t>5*10^-5</t>
  </si>
  <si>
    <t>betta</t>
  </si>
  <si>
    <t>delt</t>
  </si>
  <si>
    <t>dh_opt</t>
  </si>
  <si>
    <t>betta*delt/N</t>
  </si>
  <si>
    <t>jobid</t>
  </si>
  <si>
    <t>1st coeff</t>
  </si>
  <si>
    <t>2nd coeff</t>
  </si>
  <si>
    <t>для расхода -&gt;</t>
  </si>
  <si>
    <t>Cercignani Kn&lt;&lt;1</t>
  </si>
  <si>
    <t>Cercignani Kn&gt;&gt;1</t>
  </si>
  <si>
    <t>Cercignani, Neudachin ZAMP 1979 - G* calculated</t>
  </si>
  <si>
    <t>a</t>
  </si>
  <si>
    <t>b</t>
  </si>
  <si>
    <t>c</t>
  </si>
  <si>
    <t>e</t>
  </si>
  <si>
    <t>f</t>
  </si>
  <si>
    <t>g</t>
  </si>
  <si>
    <t xml:space="preserve">a Cercignani and Daneri ~Ref. 28!, Eq. ~3.38! ~BGK!, direct numerical method. </t>
  </si>
  <si>
    <t xml:space="preserve">b Cercignani and Pagani ~Ref. 34!, Eq. ~3.38! ~BGK!, variational method. </t>
  </si>
  <si>
    <t xml:space="preserve">c Huang et al. ~Ref. 66!, Eq. ~3.13! with ~3.16! ~BGK!, discrete velocity method. </t>
  </si>
  <si>
    <t xml:space="preserve">d Loyalka and Lang ~Ref. 99!, BE for Maxwell’s molecules, variational method. </t>
  </si>
  <si>
    <t xml:space="preserve">e Loyalka and Lang ~Ref. 99!, Model eq. with variable collision frequency, variational method. </t>
  </si>
  <si>
    <t xml:space="preserve">f Loyalka et al. ~Ref. 102!, Eq. ~3.13! with ~3.16! ~BGK!, method of elementary solutions. </t>
  </si>
  <si>
    <t xml:space="preserve">g Chernyak et al. ~Ref. 42!, Eq. ~3.40! ~S model!, direct numerical method. </t>
  </si>
  <si>
    <t>h Hickey and Loyalka ~Ref. 63!, Eq. ~3.13! with ~2.54! ~BE!, discrete velocity method.</t>
  </si>
  <si>
    <t>Таблица из обзора Шарипова и Селезнева</t>
  </si>
  <si>
    <t>Масштабированный под мое обезразмеривание расход</t>
  </si>
  <si>
    <t>Расчет сентябрь 2017, L=30 (проверка)</t>
  </si>
  <si>
    <t>J</t>
  </si>
  <si>
    <t>J4</t>
  </si>
  <si>
    <t>J3</t>
  </si>
  <si>
    <t>Из расчета</t>
  </si>
  <si>
    <t>T=</t>
  </si>
  <si>
    <t>m=</t>
  </si>
  <si>
    <t>dp/dx</t>
  </si>
  <si>
    <t>dp/dx (from BC)</t>
  </si>
  <si>
    <t>G</t>
  </si>
  <si>
    <t>градиент давления в расчете</t>
  </si>
  <si>
    <t>прогноз градиента давления по гр условиям</t>
  </si>
  <si>
    <t>последнее сохр</t>
  </si>
  <si>
    <t>предпосл сохр</t>
  </si>
  <si>
    <t>J осредн полей</t>
  </si>
  <si>
    <t>предпредпосл сохр</t>
  </si>
  <si>
    <t>Результаты из макрофайлов из двух папок</t>
  </si>
  <si>
    <t>HT dt</t>
  </si>
  <si>
    <t>Лом за 1200</t>
  </si>
  <si>
    <t>T/s</t>
  </si>
  <si>
    <t>Свободномолекулярный предел расхода</t>
  </si>
  <si>
    <t>проверка hKn большим осреднением</t>
  </si>
  <si>
    <t>Проверка mKn большим осреднением</t>
  </si>
  <si>
    <t>Из моего расчета для Kn=100</t>
  </si>
  <si>
    <t>p12</t>
  </si>
  <si>
    <t>J_1</t>
  </si>
  <si>
    <t>J, 1/c-10</t>
  </si>
  <si>
    <t>Градиенты, которые выработались в канале</t>
  </si>
  <si>
    <t>J1</t>
  </si>
  <si>
    <t>G2</t>
  </si>
  <si>
    <t>Расход частиц J1 (n*vx)</t>
  </si>
  <si>
    <t>Градиент давления</t>
  </si>
  <si>
    <t>Расход J1</t>
  </si>
  <si>
    <t>grp</t>
  </si>
  <si>
    <t>G fix</t>
  </si>
  <si>
    <t>L=20</t>
  </si>
  <si>
    <t>Recalculated</t>
  </si>
  <si>
    <t>Если считать с примыкающими к каналу областями</t>
  </si>
  <si>
    <t>Градиент давления, вырабатывающийся в канале</t>
  </si>
  <si>
    <t>В резервуарах (расчет)</t>
  </si>
  <si>
    <t>Титарев 2012</t>
  </si>
  <si>
    <t>l/a = 10</t>
  </si>
  <si>
    <t>Mp</t>
  </si>
  <si>
    <t>p1/p2 = 1.1</t>
  </si>
  <si>
    <t>SectionsFlow</t>
  </si>
  <si>
    <t>G real dp</t>
  </si>
  <si>
    <t>Синим - после 2 запусков по 10 часов</t>
  </si>
  <si>
    <t>grad p</t>
  </si>
  <si>
    <t>Давления брал из старых расчетов (21 ноя), т.к. там хорошее осреднение было</t>
  </si>
  <si>
    <t>Если требуется осреденение дополнительное</t>
  </si>
  <si>
    <t>Выносим на график</t>
  </si>
  <si>
    <r>
      <t>(1) Navier-Stokes eq., L=</t>
    </r>
    <r>
      <rPr>
        <sz val="10"/>
        <rFont val="Calibri"/>
        <family val="2"/>
        <charset val="204"/>
      </rPr>
      <t>∞</t>
    </r>
  </si>
  <si>
    <t>(2) Navier-Stokes eq. with slip, L=∞</t>
  </si>
  <si>
    <r>
      <t>(3) Solution for Kn&lt;&lt;1 (Cercignani, 1975), L=</t>
    </r>
    <r>
      <rPr>
        <sz val="10"/>
        <rFont val="Calibri"/>
        <family val="2"/>
        <charset val="204"/>
      </rPr>
      <t>∞</t>
    </r>
  </si>
  <si>
    <r>
      <t>(4) BGK (Cercignani, Pagani, 1966), L=</t>
    </r>
    <r>
      <rPr>
        <sz val="10"/>
        <rFont val="Calibri"/>
        <family val="2"/>
        <charset val="204"/>
      </rPr>
      <t>∞</t>
    </r>
  </si>
  <si>
    <t>(5) BGK (Cercignani, Neudachin, 1979), L=30</t>
  </si>
  <si>
    <t>(6) BGK (Cercignani, Neudachin, 1979), L=10</t>
  </si>
  <si>
    <t>(7) EDMD, L=30, Statement 1</t>
  </si>
  <si>
    <t>(8) EDMD, L=10, Statement 1</t>
  </si>
  <si>
    <t>Проверка</t>
  </si>
  <si>
    <t>Обезразмерим на delt*betta само физическое время</t>
  </si>
  <si>
    <t>Множитель обезразм</t>
  </si>
  <si>
    <t>lambda av</t>
  </si>
  <si>
    <t>Время сч</t>
  </si>
  <si>
    <t>сек</t>
  </si>
  <si>
    <t>мин</t>
  </si>
  <si>
    <t>часов</t>
  </si>
  <si>
    <t>Суток</t>
  </si>
  <si>
    <t>Частиц</t>
  </si>
  <si>
    <t>Множитель</t>
  </si>
  <si>
    <t>Смысл: количество характерных времен за 1 секунду расчетного времени</t>
  </si>
  <si>
    <t>EDMD results</t>
  </si>
  <si>
    <t>L=10, p1/p2 = 1.1</t>
  </si>
  <si>
    <t>Titarev (from table)</t>
  </si>
  <si>
    <t>Akinshin (from plot)</t>
  </si>
  <si>
    <t>23 февраля 2018 расчеты примерно 24 часа</t>
  </si>
  <si>
    <t>Statement 1</t>
  </si>
  <si>
    <t>Statement 2</t>
  </si>
  <si>
    <t>dp_dl</t>
  </si>
  <si>
    <t>L_dl</t>
  </si>
  <si>
    <t>from</t>
  </si>
  <si>
    <t>to</t>
  </si>
  <si>
    <t>delta t</t>
  </si>
  <si>
    <t>t_dl</t>
  </si>
  <si>
    <t>23 февраля 2018, расчеты по сечениям</t>
  </si>
  <si>
    <t>Постановка 2</t>
  </si>
  <si>
    <t>Rx</t>
  </si>
  <si>
    <t>Ry</t>
  </si>
  <si>
    <t>p1/p2</t>
  </si>
  <si>
    <t>Кислород</t>
  </si>
  <si>
    <t>M</t>
  </si>
  <si>
    <t>r</t>
  </si>
  <si>
    <t>s</t>
  </si>
  <si>
    <t>hz</t>
  </si>
  <si>
    <t>Vm/Vo</t>
  </si>
  <si>
    <t>rx</t>
  </si>
  <si>
    <t>ry</t>
  </si>
  <si>
    <t>rz</t>
  </si>
  <si>
    <t>Множ</t>
  </si>
  <si>
    <t>х скор</t>
  </si>
  <si>
    <t>к-во ячеек</t>
  </si>
  <si>
    <t>х время</t>
  </si>
  <si>
    <t>время с</t>
  </si>
  <si>
    <t>время по</t>
  </si>
  <si>
    <t>m, 10-20</t>
  </si>
  <si>
    <t>node</t>
  </si>
  <si>
    <t>откл вверх</t>
  </si>
  <si>
    <t>откл вниз</t>
  </si>
  <si>
    <t>G delta</t>
  </si>
  <si>
    <t>Результаты EDMD 16 марта</t>
  </si>
  <si>
    <t>18 марта</t>
  </si>
  <si>
    <t>отн ошибка</t>
  </si>
  <si>
    <t>Ram</t>
  </si>
  <si>
    <t>CPU h</t>
  </si>
  <si>
    <t>RAM</t>
  </si>
  <si>
    <t>Intel Xeon E5-2697 v3 2.60GHz</t>
  </si>
  <si>
    <t>Intel Xeon X5570 2.93GHz</t>
  </si>
  <si>
    <t>Из обзора Шарипова</t>
  </si>
  <si>
    <t>C</t>
  </si>
  <si>
    <t>G**</t>
  </si>
  <si>
    <t>H_x</t>
  </si>
  <si>
    <t>H_y</t>
  </si>
  <si>
    <t>Armen</t>
  </si>
  <si>
    <t>Длинный канал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</si>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</sst>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b/>
      <sz val="10"/>
      <name val="Arial Cyr"/>
      <charset val="204"/>
    </font>
    <font>
      <sz val="10"/>
      <name val="Calibri"/>
      <family val="2"/>
      <charset val="204"/>
    </font>
    <font>
      <i/>
      <sz val="10"/>
      <name val="Arial Cyr"/>
      <charset val="204"/>
    </font>
    <font>
      <b/>
      <sz val="10"/>
      <color theme="4" tint="-0.249977111117893"/>
      <name val="Arial Cyr"/>
      <charset val="204"/>
    </font>
    <font>
      <b/>
      <sz val="10"/>
      <color rgb="FFC00000"/>
      <name val="Arial Cyr"/>
      <charset val="204"/>
    </font>
    <font>
      <sz val="10"/>
      <color rgb="FFC00000"/>
      <name val="Arial Cyr"/>
      <charset val="204"/>
    </font>
    <font>
      <i/>
      <sz val="10"/>
      <color rgb="FFC00000"/>
      <name val="Arial Cyr"/>
      <charset val="204"/>
    </font>
    <font>
      <sz val="11"/>
      <color rgb="FF333333"/>
      <name val="Helvetica"/>
      <family val="2"/>
    </font>
  </fonts>
  <fills count="2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0" applyFont="1"/>
    <xf numFmtId="0" fontId="0" fillId="9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0" fillId="11" borderId="0" xfId="0" applyFill="1"/>
    <xf numFmtId="0" fontId="5" fillId="11" borderId="0" xfId="0" applyFont="1" applyFill="1"/>
    <xf numFmtId="49" fontId="0" fillId="0" borderId="0" xfId="0" applyNumberFormat="1"/>
    <xf numFmtId="2" fontId="0" fillId="0" borderId="0" xfId="0" applyNumberFormat="1"/>
    <xf numFmtId="0" fontId="5" fillId="11" borderId="7" xfId="0" applyFont="1" applyFill="1" applyBorder="1"/>
    <xf numFmtId="0" fontId="0" fillId="0" borderId="0" xfId="0" applyFont="1"/>
    <xf numFmtId="0" fontId="5" fillId="12" borderId="7" xfId="0" applyFont="1" applyFill="1" applyBorder="1"/>
    <xf numFmtId="0" fontId="0" fillId="11" borderId="7" xfId="0" applyFill="1" applyBorder="1"/>
    <xf numFmtId="11" fontId="0" fillId="0" borderId="0" xfId="0" applyNumberFormat="1"/>
    <xf numFmtId="0" fontId="5" fillId="8" borderId="7" xfId="0" applyFont="1" applyFill="1" applyBorder="1"/>
    <xf numFmtId="0" fontId="0" fillId="8" borderId="7" xfId="0" applyFill="1" applyBorder="1"/>
    <xf numFmtId="11" fontId="5" fillId="0" borderId="0" xfId="0" applyNumberFormat="1" applyFont="1"/>
    <xf numFmtId="0" fontId="5" fillId="11" borderId="0" xfId="0" applyFont="1" applyFill="1" applyBorder="1"/>
    <xf numFmtId="0" fontId="0" fillId="11" borderId="0" xfId="0" applyFill="1" applyBorder="1"/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5" fillId="0" borderId="0" xfId="0" applyFont="1" applyFill="1" applyBorder="1"/>
    <xf numFmtId="0" fontId="0" fillId="13" borderId="0" xfId="0" applyFont="1" applyFill="1"/>
    <xf numFmtId="0" fontId="0" fillId="16" borderId="0" xfId="0" applyFill="1"/>
    <xf numFmtId="0" fontId="0" fillId="15" borderId="0" xfId="0" applyFill="1"/>
    <xf numFmtId="0" fontId="0" fillId="17" borderId="7" xfId="0" applyFill="1" applyBorder="1"/>
    <xf numFmtId="0" fontId="0" fillId="6" borderId="7" xfId="0" applyFill="1" applyBorder="1"/>
    <xf numFmtId="0" fontId="0" fillId="0" borderId="7" xfId="0" applyBorder="1"/>
    <xf numFmtId="14" fontId="0" fillId="10" borderId="0" xfId="0" applyNumberFormat="1" applyFill="1"/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8" borderId="7" xfId="0" applyFill="1" applyBorder="1"/>
    <xf numFmtId="0" fontId="0" fillId="18" borderId="0" xfId="0" applyFill="1" applyBorder="1"/>
    <xf numFmtId="0" fontId="0" fillId="5" borderId="9" xfId="0" applyFill="1" applyBorder="1"/>
    <xf numFmtId="0" fontId="5" fillId="18" borderId="0" xfId="0" applyFont="1" applyFill="1"/>
    <xf numFmtId="0" fontId="5" fillId="0" borderId="7" xfId="0" applyFont="1" applyBorder="1"/>
    <xf numFmtId="0" fontId="7" fillId="0" borderId="0" xfId="0" applyFont="1"/>
    <xf numFmtId="0" fontId="0" fillId="0" borderId="0" xfId="0" applyBorder="1"/>
    <xf numFmtId="0" fontId="0" fillId="20" borderId="0" xfId="0" applyFill="1"/>
    <xf numFmtId="0" fontId="0" fillId="20" borderId="0" xfId="0" applyFill="1" applyBorder="1"/>
    <xf numFmtId="0" fontId="5" fillId="20" borderId="0" xfId="0" applyFont="1" applyFill="1"/>
    <xf numFmtId="0" fontId="5" fillId="0" borderId="11" xfId="0" applyFont="1" applyBorder="1"/>
    <xf numFmtId="0" fontId="0" fillId="0" borderId="10" xfId="0" applyBorder="1"/>
    <xf numFmtId="0" fontId="0" fillId="7" borderId="10" xfId="0" applyFill="1" applyBorder="1"/>
    <xf numFmtId="0" fontId="5" fillId="0" borderId="10" xfId="0" applyFont="1" applyBorder="1"/>
    <xf numFmtId="0" fontId="8" fillId="0" borderId="0" xfId="0" applyFont="1"/>
    <xf numFmtId="0" fontId="0" fillId="19" borderId="12" xfId="0" applyFill="1" applyBorder="1"/>
    <xf numFmtId="0" fontId="8" fillId="0" borderId="0" xfId="0" applyFont="1" applyFill="1"/>
    <xf numFmtId="0" fontId="0" fillId="19" borderId="0" xfId="0" applyFill="1" applyBorder="1"/>
    <xf numFmtId="0" fontId="5" fillId="13" borderId="0" xfId="0" applyFont="1" applyFill="1"/>
    <xf numFmtId="0" fontId="5" fillId="17" borderId="0" xfId="0" applyFont="1" applyFill="1"/>
    <xf numFmtId="0" fontId="5" fillId="14" borderId="0" xfId="0" applyFont="1" applyFill="1"/>
    <xf numFmtId="164" fontId="0" fillId="0" borderId="8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4" fontId="0" fillId="0" borderId="0" xfId="0" applyNumberFormat="1"/>
    <xf numFmtId="0" fontId="9" fillId="0" borderId="0" xfId="0" applyFont="1"/>
    <xf numFmtId="0" fontId="0" fillId="15" borderId="7" xfId="0" applyFill="1" applyBorder="1"/>
    <xf numFmtId="0" fontId="5" fillId="15" borderId="7" xfId="0" applyFont="1" applyFill="1" applyBorder="1"/>
    <xf numFmtId="0" fontId="9" fillId="15" borderId="7" xfId="0" applyFont="1" applyFill="1" applyBorder="1"/>
    <xf numFmtId="0" fontId="0" fillId="21" borderId="7" xfId="0" applyFill="1" applyBorder="1"/>
    <xf numFmtId="0" fontId="10" fillId="0" borderId="0" xfId="0" applyFont="1"/>
    <xf numFmtId="0" fontId="7" fillId="15" borderId="7" xfId="0" applyFont="1" applyFill="1" applyBorder="1"/>
    <xf numFmtId="0" fontId="7" fillId="21" borderId="7" xfId="0" applyFont="1" applyFill="1" applyBorder="1"/>
    <xf numFmtId="0" fontId="11" fillId="15" borderId="7" xfId="0" applyFont="1" applyFill="1" applyBorder="1"/>
    <xf numFmtId="0" fontId="0" fillId="15" borderId="7" xfId="0" applyFont="1" applyFill="1" applyBorder="1"/>
    <xf numFmtId="0" fontId="0" fillId="22" borderId="7" xfId="0" applyFill="1" applyBorder="1"/>
    <xf numFmtId="0" fontId="0" fillId="0" borderId="15" xfId="0" applyBorder="1"/>
    <xf numFmtId="0" fontId="0" fillId="11" borderId="16" xfId="0" applyFill="1" applyBorder="1"/>
    <xf numFmtId="0" fontId="0" fillId="22" borderId="16" xfId="0" applyFill="1" applyBorder="1"/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5" fillId="11" borderId="4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2" borderId="7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4"/>
          <c:order val="0"/>
          <c:tx>
            <c:v>(1) Free-molecular limit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Summary!$H$539:$H$540</c:f>
              <c:numCache>
                <c:formatCode>General</c:formatCode>
                <c:ptCount val="2"/>
                <c:pt idx="0">
                  <c:v>1.525831171817448</c:v>
                </c:pt>
                <c:pt idx="1">
                  <c:v>1.525831171817448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7-4040-A8C8-820A5F328CDB}"/>
            </c:ext>
          </c:extLst>
        </c:ser>
        <c:ser>
          <c:idx val="2"/>
          <c:order val="1"/>
          <c:tx>
            <c:v>(2) Akinshin et al., 1988, Statement 1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Summary!$AK$199:$AK$213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0.9027033336764102</c:v>
                </c:pt>
                <c:pt idx="11">
                  <c:v>1.3540550005146152</c:v>
                </c:pt>
                <c:pt idx="12">
                  <c:v>2.777695517608568</c:v>
                </c:pt>
                <c:pt idx="13">
                  <c:v>5.2756319752069105</c:v>
                </c:pt>
                <c:pt idx="14">
                  <c:v>8.0271555744033964</c:v>
                </c:pt>
              </c:numCache>
            </c:numRef>
          </c:xVal>
          <c:yVal>
            <c:numRef>
              <c:f>Summary!$AL$199:$AL$213</c:f>
              <c:numCache>
                <c:formatCode>General</c:formatCode>
                <c:ptCount val="15"/>
                <c:pt idx="0">
                  <c:v>1.4781767088951216</c:v>
                </c:pt>
                <c:pt idx="1">
                  <c:v>1.4781767088951216</c:v>
                </c:pt>
                <c:pt idx="2">
                  <c:v>1.4668929172241665</c:v>
                </c:pt>
                <c:pt idx="3">
                  <c:v>1.4443253338822561</c:v>
                </c:pt>
                <c:pt idx="4">
                  <c:v>1.4104739588693909</c:v>
                </c:pt>
                <c:pt idx="5">
                  <c:v>1.3766225838565254</c:v>
                </c:pt>
                <c:pt idx="6">
                  <c:v>1.3540550005146152</c:v>
                </c:pt>
                <c:pt idx="7">
                  <c:v>1.3089198338307946</c:v>
                </c:pt>
                <c:pt idx="8">
                  <c:v>1.2863522504888842</c:v>
                </c:pt>
                <c:pt idx="9">
                  <c:v>1.2750684588179293</c:v>
                </c:pt>
                <c:pt idx="10">
                  <c:v>1.2637846671469743</c:v>
                </c:pt>
                <c:pt idx="11">
                  <c:v>1.2750684588179293</c:v>
                </c:pt>
                <c:pt idx="12">
                  <c:v>1.3540550005146152</c:v>
                </c:pt>
                <c:pt idx="13">
                  <c:v>1.5345956672498973</c:v>
                </c:pt>
                <c:pt idx="14">
                  <c:v>1.7489877089980448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77-4040-A8C8-820A5F328CDB}"/>
            </c:ext>
          </c:extLst>
        </c:ser>
        <c:ser>
          <c:idx val="9"/>
          <c:order val="2"/>
          <c:tx>
            <c:v>(3) Akinshin et al., 1989, Statement 2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Summary!$AY$199:$AY$211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0.67702750025730762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Summary!$AZ$199:$AZ$211</c:f>
              <c:numCache>
                <c:formatCode>General</c:formatCode>
                <c:ptCount val="13"/>
                <c:pt idx="0">
                  <c:v>1.5379808047511838</c:v>
                </c:pt>
                <c:pt idx="1">
                  <c:v>1.5379808047511838</c:v>
                </c:pt>
                <c:pt idx="2">
                  <c:v>1.5379808047511838</c:v>
                </c:pt>
                <c:pt idx="3">
                  <c:v>1.5120280839079872</c:v>
                </c:pt>
                <c:pt idx="4">
                  <c:v>1.4781767088951216</c:v>
                </c:pt>
                <c:pt idx="5">
                  <c:v>1.4443253338822561</c:v>
                </c:pt>
                <c:pt idx="6">
                  <c:v>1.421757750540346</c:v>
                </c:pt>
                <c:pt idx="7">
                  <c:v>1.421757750540346</c:v>
                </c:pt>
                <c:pt idx="8">
                  <c:v>1.4781767088951216</c:v>
                </c:pt>
                <c:pt idx="9">
                  <c:v>1.6587173756304037</c:v>
                </c:pt>
                <c:pt idx="10">
                  <c:v>1.9520959590752369</c:v>
                </c:pt>
                <c:pt idx="11">
                  <c:v>2.313177292545801</c:v>
                </c:pt>
                <c:pt idx="12">
                  <c:v>2.8209479177387817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77-4040-A8C8-820A5F328CDB}"/>
            </c:ext>
          </c:extLst>
        </c:ser>
        <c:ser>
          <c:idx val="7"/>
          <c:order val="3"/>
          <c:tx>
            <c:v>(4) Titarev, 2012, Statement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Summary!$E$547:$E$555</c:f>
              <c:numCache>
                <c:formatCode>General</c:formatCode>
                <c:ptCount val="9"/>
                <c:pt idx="0">
                  <c:v>2.2567583341910252E-2</c:v>
                </c:pt>
                <c:pt idx="1">
                  <c:v>0.22567583341910255</c:v>
                </c:pt>
                <c:pt idx="2">
                  <c:v>2.2567583341910251</c:v>
                </c:pt>
                <c:pt idx="3">
                  <c:v>4.5135166683820502</c:v>
                </c:pt>
                <c:pt idx="4">
                  <c:v>11.283791670955127</c:v>
                </c:pt>
                <c:pt idx="5">
                  <c:v>22.567583341910254</c:v>
                </c:pt>
                <c:pt idx="6">
                  <c:v>67.702750025730765</c:v>
                </c:pt>
                <c:pt idx="7">
                  <c:v>112.83791670955127</c:v>
                </c:pt>
                <c:pt idx="8">
                  <c:v>225.67583341910253</c:v>
                </c:pt>
              </c:numCache>
            </c:numRef>
          </c:xVal>
          <c:yVal>
            <c:numRef>
              <c:f>Summary!$F$547:$F$555</c:f>
              <c:numCache>
                <c:formatCode>General</c:formatCode>
                <c:ptCount val="9"/>
                <c:pt idx="0">
                  <c:v>1.5176699797434645</c:v>
                </c:pt>
                <c:pt idx="1">
                  <c:v>1.4556091255532113</c:v>
                </c:pt>
                <c:pt idx="2">
                  <c:v>1.562805146427285</c:v>
                </c:pt>
                <c:pt idx="3">
                  <c:v>1.8618256257075958</c:v>
                </c:pt>
                <c:pt idx="4">
                  <c:v>2.8209479177387817</c:v>
                </c:pt>
                <c:pt idx="5">
                  <c:v>4.5078747725465735</c:v>
                </c:pt>
                <c:pt idx="6">
                  <c:v>11.114534795890799</c:v>
                </c:pt>
                <c:pt idx="7">
                  <c:v>16.982106464787467</c:v>
                </c:pt>
                <c:pt idx="8">
                  <c:v>26.968262093582752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7-4040-A8C8-820A5F328CDB}"/>
            </c:ext>
          </c:extLst>
        </c:ser>
        <c:ser>
          <c:idx val="3"/>
          <c:order val="4"/>
          <c:tx>
            <c:v>(5) EDMD, Statement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accent5"/>
                </a:solidFill>
              </a:ln>
              <a:effectLst/>
            </c:spPr>
          </c:marker>
          <c:xVal>
            <c:numRef>
              <c:f>'Март 2018'!$V$28:$V$43</c:f>
              <c:numCache>
                <c:formatCode>General</c:formatCode>
                <c:ptCount val="16"/>
                <c:pt idx="0">
                  <c:v>10</c:v>
                </c:pt>
                <c:pt idx="1">
                  <c:v>6.25</c:v>
                </c:pt>
                <c:pt idx="2">
                  <c:v>3.8461538461538458</c:v>
                </c:pt>
                <c:pt idx="3">
                  <c:v>2.4390243902439024</c:v>
                </c:pt>
                <c:pt idx="4">
                  <c:v>1.5151515151515151</c:v>
                </c:pt>
                <c:pt idx="5">
                  <c:v>0.95238095238095233</c:v>
                </c:pt>
                <c:pt idx="6">
                  <c:v>0.59523809523809523</c:v>
                </c:pt>
                <c:pt idx="7">
                  <c:v>0.37313432835820892</c:v>
                </c:pt>
                <c:pt idx="8">
                  <c:v>0.23310023310023309</c:v>
                </c:pt>
                <c:pt idx="9">
                  <c:v>0.14556040756914118</c:v>
                </c:pt>
                <c:pt idx="10">
                  <c:v>9.0909090909090912E-2</c:v>
                </c:pt>
                <c:pt idx="11">
                  <c:v>5.6850483229107449E-2</c:v>
                </c:pt>
                <c:pt idx="12">
                  <c:v>3.5523978685612793E-2</c:v>
                </c:pt>
                <c:pt idx="13">
                  <c:v>2.2202486678507993E-2</c:v>
                </c:pt>
                <c:pt idx="14">
                  <c:v>1.3877324451845684E-2</c:v>
                </c:pt>
                <c:pt idx="15">
                  <c:v>8.6737791655824431E-3</c:v>
                </c:pt>
              </c:numCache>
            </c:numRef>
          </c:xVal>
          <c:yVal>
            <c:numRef>
              <c:f>'Март 2018'!$AJ$28:$AJ$43</c:f>
              <c:numCache>
                <c:formatCode>General</c:formatCode>
                <c:ptCount val="16"/>
                <c:pt idx="0">
                  <c:v>1.8672271234290709</c:v>
                </c:pt>
                <c:pt idx="1">
                  <c:v>1.6069407437037935</c:v>
                </c:pt>
                <c:pt idx="2">
                  <c:v>1.4343497716448244</c:v>
                </c:pt>
                <c:pt idx="3">
                  <c:v>1.3499420803736488</c:v>
                </c:pt>
                <c:pt idx="4">
                  <c:v>1.3276323497333715</c:v>
                </c:pt>
                <c:pt idx="5">
                  <c:v>1.3150237609847033</c:v>
                </c:pt>
                <c:pt idx="6">
                  <c:v>1.3228781893896093</c:v>
                </c:pt>
                <c:pt idx="7">
                  <c:v>1.3483367978574539</c:v>
                </c:pt>
                <c:pt idx="8">
                  <c:v>1.3894538144980499</c:v>
                </c:pt>
                <c:pt idx="9">
                  <c:v>1.4349020791995761</c:v>
                </c:pt>
                <c:pt idx="10">
                  <c:v>1.4639082049265375</c:v>
                </c:pt>
                <c:pt idx="11">
                  <c:v>1.4835185571309439</c:v>
                </c:pt>
                <c:pt idx="12">
                  <c:v>1.4936608172842125</c:v>
                </c:pt>
                <c:pt idx="13">
                  <c:v>1.5174377702520965</c:v>
                </c:pt>
                <c:pt idx="14">
                  <c:v>1.5227623344546659</c:v>
                </c:pt>
                <c:pt idx="15">
                  <c:v>1.5185505009106897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7-4040-A8C8-820A5F328CDB}"/>
            </c:ext>
          </c:extLst>
        </c:ser>
        <c:ser>
          <c:idx val="5"/>
          <c:order val="5"/>
          <c:tx>
            <c:v>(6) EDMD, Statement 2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22225">
                <a:solidFill>
                  <a:schemeClr val="accent5"/>
                </a:solidFill>
              </a:ln>
              <a:effectLst/>
            </c:spPr>
          </c:marker>
          <c:xVal>
            <c:numRef>
              <c:f>'Март 2018'!$V$12:$V$27</c:f>
              <c:numCache>
                <c:formatCode>General</c:formatCode>
                <c:ptCount val="16"/>
                <c:pt idx="0">
                  <c:v>10</c:v>
                </c:pt>
                <c:pt idx="1">
                  <c:v>6.25</c:v>
                </c:pt>
                <c:pt idx="2">
                  <c:v>3.8461538461538458</c:v>
                </c:pt>
                <c:pt idx="3">
                  <c:v>2.4390243902439024</c:v>
                </c:pt>
                <c:pt idx="4">
                  <c:v>1.5151515151515151</c:v>
                </c:pt>
                <c:pt idx="5">
                  <c:v>0.95238095238095233</c:v>
                </c:pt>
                <c:pt idx="6">
                  <c:v>0.59523809523809523</c:v>
                </c:pt>
                <c:pt idx="7">
                  <c:v>0.37313432835820892</c:v>
                </c:pt>
                <c:pt idx="8">
                  <c:v>0.23310023310023309</c:v>
                </c:pt>
                <c:pt idx="9">
                  <c:v>0.14556040756914118</c:v>
                </c:pt>
                <c:pt idx="10">
                  <c:v>9.0909090909090912E-2</c:v>
                </c:pt>
                <c:pt idx="11">
                  <c:v>5.6850483229107449E-2</c:v>
                </c:pt>
                <c:pt idx="12">
                  <c:v>3.5523978685612793E-2</c:v>
                </c:pt>
                <c:pt idx="13">
                  <c:v>2.2202486678507993E-2</c:v>
                </c:pt>
                <c:pt idx="14">
                  <c:v>1.3877324451845684E-2</c:v>
                </c:pt>
                <c:pt idx="15">
                  <c:v>8.6737791655824431E-3</c:v>
                </c:pt>
              </c:numCache>
            </c:numRef>
          </c:xVal>
          <c:yVal>
            <c:numRef>
              <c:f>'Март 2018'!$AJ$12:$AJ$27</c:f>
              <c:numCache>
                <c:formatCode>General</c:formatCode>
                <c:ptCount val="16"/>
                <c:pt idx="0">
                  <c:v>2.457310036531847</c:v>
                </c:pt>
                <c:pt idx="1">
                  <c:v>1.9427678920309555</c:v>
                </c:pt>
                <c:pt idx="2">
                  <c:v>1.8074803475409289</c:v>
                </c:pt>
                <c:pt idx="3">
                  <c:v>1.4983289226676801</c:v>
                </c:pt>
                <c:pt idx="4">
                  <c:v>1.4410538458415105</c:v>
                </c:pt>
                <c:pt idx="5">
                  <c:v>1.3219597178259301</c:v>
                </c:pt>
                <c:pt idx="6">
                  <c:v>1.3542856154902998</c:v>
                </c:pt>
                <c:pt idx="7">
                  <c:v>1.387473464587015</c:v>
                </c:pt>
                <c:pt idx="8">
                  <c:v>1.4424450230489834</c:v>
                </c:pt>
                <c:pt idx="9">
                  <c:v>1.4442053993644868</c:v>
                </c:pt>
                <c:pt idx="10">
                  <c:v>1.4334612775296054</c:v>
                </c:pt>
                <c:pt idx="11">
                  <c:v>1.4939573956015866</c:v>
                </c:pt>
                <c:pt idx="12">
                  <c:v>1.5052219656991754</c:v>
                </c:pt>
                <c:pt idx="13">
                  <c:v>1.5022610731829169</c:v>
                </c:pt>
                <c:pt idx="14">
                  <c:v>1.5139176728041521</c:v>
                </c:pt>
                <c:pt idx="15">
                  <c:v>1.5317436186768332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77-4040-A8C8-820A5F328CDB}"/>
            </c:ext>
          </c:extLst>
        </c:ser>
        <c:ser>
          <c:idx val="0"/>
          <c:order val="6"/>
          <c:tx>
            <c:v>(6) EDMD, Statement 2, 2M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'Март 2018'!$V$47:$V$62</c:f>
              <c:numCache>
                <c:formatCode>General</c:formatCode>
                <c:ptCount val="16"/>
                <c:pt idx="0">
                  <c:v>10</c:v>
                </c:pt>
                <c:pt idx="1">
                  <c:v>6.25</c:v>
                </c:pt>
                <c:pt idx="2">
                  <c:v>3.8461538461538458</c:v>
                </c:pt>
                <c:pt idx="3">
                  <c:v>2.4390243902439024</c:v>
                </c:pt>
                <c:pt idx="4">
                  <c:v>1.5151515151515151</c:v>
                </c:pt>
                <c:pt idx="5">
                  <c:v>0.95238095238095233</c:v>
                </c:pt>
                <c:pt idx="6">
                  <c:v>0.59523809523809523</c:v>
                </c:pt>
                <c:pt idx="7">
                  <c:v>0.37313432835820892</c:v>
                </c:pt>
                <c:pt idx="8">
                  <c:v>0.23310023310023309</c:v>
                </c:pt>
                <c:pt idx="9">
                  <c:v>0.14556040756914118</c:v>
                </c:pt>
                <c:pt idx="10">
                  <c:v>9.0909090909090912E-2</c:v>
                </c:pt>
                <c:pt idx="11">
                  <c:v>5.6850483229107449E-2</c:v>
                </c:pt>
                <c:pt idx="12">
                  <c:v>3.5523978685612793E-2</c:v>
                </c:pt>
                <c:pt idx="13">
                  <c:v>2.2202486678507993E-2</c:v>
                </c:pt>
                <c:pt idx="14">
                  <c:v>1.3877324451845684E-2</c:v>
                </c:pt>
                <c:pt idx="15">
                  <c:v>8.6737791655824431E-3</c:v>
                </c:pt>
              </c:numCache>
            </c:numRef>
          </c:xVal>
          <c:yVal>
            <c:numRef>
              <c:f>'Март 2018'!$AJ$47:$AJ$62</c:f>
              <c:numCache>
                <c:formatCode>General</c:formatCode>
                <c:ptCount val="16"/>
                <c:pt idx="0">
                  <c:v>2.5333322188502065</c:v>
                </c:pt>
                <c:pt idx="1">
                  <c:v>2.0130490652834863</c:v>
                </c:pt>
                <c:pt idx="2">
                  <c:v>1.7352926159578592</c:v>
                </c:pt>
                <c:pt idx="3">
                  <c:v>1.4913327043425777</c:v>
                </c:pt>
                <c:pt idx="4">
                  <c:v>1.4233161153985581</c:v>
                </c:pt>
                <c:pt idx="5">
                  <c:v>1.3948391185027207</c:v>
                </c:pt>
                <c:pt idx="6">
                  <c:v>1.3930166604802463</c:v>
                </c:pt>
                <c:pt idx="7">
                  <c:v>1.4169987036117642</c:v>
                </c:pt>
                <c:pt idx="8">
                  <c:v>1.4493645914210778</c:v>
                </c:pt>
                <c:pt idx="9">
                  <c:v>1.4353251196284722</c:v>
                </c:pt>
                <c:pt idx="10">
                  <c:v>1.4736470928297163</c:v>
                </c:pt>
                <c:pt idx="11">
                  <c:v>1.4646013771215878</c:v>
                </c:pt>
                <c:pt idx="12">
                  <c:v>1.4944897713543859</c:v>
                </c:pt>
                <c:pt idx="13">
                  <c:v>1.5295271538793684</c:v>
                </c:pt>
                <c:pt idx="14">
                  <c:v>1.5205249723726322</c:v>
                </c:pt>
                <c:pt idx="15">
                  <c:v>1.5136514321673322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77-4040-A8C8-820A5F32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52704"/>
        <c:axId val="656550528"/>
      </c:scatterChart>
      <c:valAx>
        <c:axId val="656552704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56550528"/>
        <c:crossesAt val="0"/>
        <c:crossBetween val="midCat"/>
      </c:valAx>
      <c:valAx>
        <c:axId val="656550528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56552704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890529128212164E-2"/>
          <c:y val="6.0652735151436689E-2"/>
          <c:w val="0.58953320087325534"/>
          <c:h val="0.42150821207877964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Summary!$N$68</c:f>
              <c:strCache>
                <c:ptCount val="1"/>
                <c:pt idx="0">
                  <c:v>(1) Navier-Stokes eq., L=∞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Summary!$P$69:$P$146</c:f>
              <c:numCache>
                <c:formatCode>General</c:formatCode>
                <c:ptCount val="7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</c:v>
                </c:pt>
                <c:pt idx="14">
                  <c:v>0.25</c:v>
                </c:pt>
                <c:pt idx="15">
                  <c:v>0.5</c:v>
                </c:pt>
                <c:pt idx="16">
                  <c:v>0.75</c:v>
                </c:pt>
                <c:pt idx="17">
                  <c:v>1</c:v>
                </c:pt>
                <c:pt idx="18">
                  <c:v>1.25</c:v>
                </c:pt>
                <c:pt idx="19">
                  <c:v>1.5</c:v>
                </c:pt>
                <c:pt idx="20">
                  <c:v>1.75</c:v>
                </c:pt>
                <c:pt idx="21">
                  <c:v>2</c:v>
                </c:pt>
                <c:pt idx="22">
                  <c:v>2.25</c:v>
                </c:pt>
                <c:pt idx="23">
                  <c:v>2.5</c:v>
                </c:pt>
                <c:pt idx="24">
                  <c:v>2.75</c:v>
                </c:pt>
                <c:pt idx="25">
                  <c:v>3</c:v>
                </c:pt>
                <c:pt idx="26">
                  <c:v>3.25</c:v>
                </c:pt>
                <c:pt idx="27">
                  <c:v>3.5</c:v>
                </c:pt>
                <c:pt idx="28">
                  <c:v>3.75</c:v>
                </c:pt>
                <c:pt idx="29">
                  <c:v>4</c:v>
                </c:pt>
                <c:pt idx="30">
                  <c:v>4.25</c:v>
                </c:pt>
                <c:pt idx="31">
                  <c:v>4.5</c:v>
                </c:pt>
                <c:pt idx="32">
                  <c:v>4.75</c:v>
                </c:pt>
                <c:pt idx="33">
                  <c:v>5</c:v>
                </c:pt>
                <c:pt idx="34">
                  <c:v>5.25</c:v>
                </c:pt>
                <c:pt idx="35">
                  <c:v>5.5</c:v>
                </c:pt>
                <c:pt idx="36">
                  <c:v>5.75</c:v>
                </c:pt>
                <c:pt idx="37">
                  <c:v>6</c:v>
                </c:pt>
                <c:pt idx="38">
                  <c:v>6.25</c:v>
                </c:pt>
                <c:pt idx="39">
                  <c:v>6.5</c:v>
                </c:pt>
                <c:pt idx="40">
                  <c:v>6.75</c:v>
                </c:pt>
                <c:pt idx="41">
                  <c:v>7</c:v>
                </c:pt>
                <c:pt idx="42">
                  <c:v>7.25</c:v>
                </c:pt>
                <c:pt idx="43">
                  <c:v>7.5</c:v>
                </c:pt>
                <c:pt idx="44">
                  <c:v>7.75</c:v>
                </c:pt>
                <c:pt idx="45">
                  <c:v>8</c:v>
                </c:pt>
                <c:pt idx="46">
                  <c:v>8.25</c:v>
                </c:pt>
                <c:pt idx="47">
                  <c:v>8.5</c:v>
                </c:pt>
                <c:pt idx="48">
                  <c:v>8.75</c:v>
                </c:pt>
                <c:pt idx="49">
                  <c:v>9</c:v>
                </c:pt>
                <c:pt idx="50">
                  <c:v>9.25</c:v>
                </c:pt>
                <c:pt idx="51">
                  <c:v>9.5</c:v>
                </c:pt>
                <c:pt idx="52">
                  <c:v>9.75</c:v>
                </c:pt>
                <c:pt idx="53">
                  <c:v>10</c:v>
                </c:pt>
                <c:pt idx="54">
                  <c:v>10.25</c:v>
                </c:pt>
                <c:pt idx="55">
                  <c:v>10.5</c:v>
                </c:pt>
                <c:pt idx="56">
                  <c:v>10.75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11.75</c:v>
                </c:pt>
                <c:pt idx="61">
                  <c:v>12</c:v>
                </c:pt>
                <c:pt idx="62">
                  <c:v>12.25</c:v>
                </c:pt>
                <c:pt idx="63">
                  <c:v>12.5</c:v>
                </c:pt>
                <c:pt idx="64">
                  <c:v>12.75</c:v>
                </c:pt>
                <c:pt idx="65">
                  <c:v>13</c:v>
                </c:pt>
                <c:pt idx="66">
                  <c:v>13.25</c:v>
                </c:pt>
                <c:pt idx="67">
                  <c:v>13.5</c:v>
                </c:pt>
                <c:pt idx="68">
                  <c:v>13.75</c:v>
                </c:pt>
                <c:pt idx="69">
                  <c:v>14</c:v>
                </c:pt>
                <c:pt idx="70">
                  <c:v>14.25</c:v>
                </c:pt>
                <c:pt idx="71">
                  <c:v>14.5</c:v>
                </c:pt>
                <c:pt idx="72">
                  <c:v>14.75</c:v>
                </c:pt>
                <c:pt idx="73">
                  <c:v>15</c:v>
                </c:pt>
                <c:pt idx="74">
                  <c:v>20</c:v>
                </c:pt>
                <c:pt idx="75">
                  <c:v>30</c:v>
                </c:pt>
                <c:pt idx="76">
                  <c:v>40</c:v>
                </c:pt>
                <c:pt idx="77">
                  <c:v>50</c:v>
                </c:pt>
              </c:numCache>
            </c:numRef>
          </c:xVal>
          <c:yVal>
            <c:numRef>
              <c:f>Summary!$N$69:$N$146</c:f>
              <c:numCache>
                <c:formatCode>General</c:formatCode>
                <c:ptCount val="78"/>
                <c:pt idx="0">
                  <c:v>1.6666666666666666E-3</c:v>
                </c:pt>
                <c:pt idx="1">
                  <c:v>3.3333333333333331E-3</c:v>
                </c:pt>
                <c:pt idx="2">
                  <c:v>4.9999999999999992E-3</c:v>
                </c:pt>
                <c:pt idx="3">
                  <c:v>6.6666666666666662E-3</c:v>
                </c:pt>
                <c:pt idx="4">
                  <c:v>8.3333333333333332E-3</c:v>
                </c:pt>
                <c:pt idx="5">
                  <c:v>9.9999999999999985E-3</c:v>
                </c:pt>
                <c:pt idx="6">
                  <c:v>1.1666666666666667E-2</c:v>
                </c:pt>
                <c:pt idx="7">
                  <c:v>1.3333333333333332E-2</c:v>
                </c:pt>
                <c:pt idx="8">
                  <c:v>1.4999999999999999E-2</c:v>
                </c:pt>
                <c:pt idx="9">
                  <c:v>1.6666666666666666E-2</c:v>
                </c:pt>
                <c:pt idx="10">
                  <c:v>1.9999999999999997E-2</c:v>
                </c:pt>
                <c:pt idx="11">
                  <c:v>2.3333333333333334E-2</c:v>
                </c:pt>
                <c:pt idx="12">
                  <c:v>2.6666666666666665E-2</c:v>
                </c:pt>
                <c:pt idx="13">
                  <c:v>3.3333333333333333E-2</c:v>
                </c:pt>
                <c:pt idx="14">
                  <c:v>4.1666666666666664E-2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0.16666666666666666</c:v>
                </c:pt>
                <c:pt idx="18">
                  <c:v>0.20833333333333331</c:v>
                </c:pt>
                <c:pt idx="19">
                  <c:v>0.25</c:v>
                </c:pt>
                <c:pt idx="20">
                  <c:v>0.29166666666666663</c:v>
                </c:pt>
                <c:pt idx="21">
                  <c:v>0.33333333333333331</c:v>
                </c:pt>
                <c:pt idx="22">
                  <c:v>0.375</c:v>
                </c:pt>
                <c:pt idx="23">
                  <c:v>0.41666666666666663</c:v>
                </c:pt>
                <c:pt idx="24">
                  <c:v>0.45833333333333331</c:v>
                </c:pt>
                <c:pt idx="25">
                  <c:v>0.5</c:v>
                </c:pt>
                <c:pt idx="26">
                  <c:v>0.54166666666666663</c:v>
                </c:pt>
                <c:pt idx="27">
                  <c:v>0.58333333333333326</c:v>
                </c:pt>
                <c:pt idx="28">
                  <c:v>0.625</c:v>
                </c:pt>
                <c:pt idx="29">
                  <c:v>0.66666666666666663</c:v>
                </c:pt>
                <c:pt idx="30">
                  <c:v>0.70833333333333326</c:v>
                </c:pt>
                <c:pt idx="31">
                  <c:v>0.75</c:v>
                </c:pt>
                <c:pt idx="32">
                  <c:v>0.79166666666666663</c:v>
                </c:pt>
                <c:pt idx="33">
                  <c:v>0.83333333333333326</c:v>
                </c:pt>
                <c:pt idx="34">
                  <c:v>0.875</c:v>
                </c:pt>
                <c:pt idx="35">
                  <c:v>0.91666666666666663</c:v>
                </c:pt>
                <c:pt idx="36">
                  <c:v>0.95833333333333326</c:v>
                </c:pt>
                <c:pt idx="37">
                  <c:v>1</c:v>
                </c:pt>
                <c:pt idx="38">
                  <c:v>1.0416666666666665</c:v>
                </c:pt>
                <c:pt idx="39">
                  <c:v>1.0833333333333333</c:v>
                </c:pt>
                <c:pt idx="40">
                  <c:v>1.125</c:v>
                </c:pt>
                <c:pt idx="41">
                  <c:v>1.1666666666666665</c:v>
                </c:pt>
                <c:pt idx="42">
                  <c:v>1.2083333333333333</c:v>
                </c:pt>
                <c:pt idx="43">
                  <c:v>1.25</c:v>
                </c:pt>
                <c:pt idx="44">
                  <c:v>1.2916666666666665</c:v>
                </c:pt>
                <c:pt idx="45">
                  <c:v>1.3333333333333333</c:v>
                </c:pt>
                <c:pt idx="46">
                  <c:v>1.375</c:v>
                </c:pt>
                <c:pt idx="47">
                  <c:v>1.4166666666666665</c:v>
                </c:pt>
                <c:pt idx="48">
                  <c:v>1.4583333333333333</c:v>
                </c:pt>
                <c:pt idx="49">
                  <c:v>1.5</c:v>
                </c:pt>
                <c:pt idx="50">
                  <c:v>1.5416666666666665</c:v>
                </c:pt>
                <c:pt idx="51">
                  <c:v>1.5833333333333333</c:v>
                </c:pt>
                <c:pt idx="52">
                  <c:v>1.625</c:v>
                </c:pt>
                <c:pt idx="53">
                  <c:v>1.6666666666666665</c:v>
                </c:pt>
                <c:pt idx="54">
                  <c:v>1.7083333333333333</c:v>
                </c:pt>
                <c:pt idx="55">
                  <c:v>1.75</c:v>
                </c:pt>
                <c:pt idx="56">
                  <c:v>1.7916666666666665</c:v>
                </c:pt>
                <c:pt idx="57">
                  <c:v>1.8333333333333333</c:v>
                </c:pt>
                <c:pt idx="58">
                  <c:v>1.875</c:v>
                </c:pt>
                <c:pt idx="59">
                  <c:v>1.9166666666666665</c:v>
                </c:pt>
                <c:pt idx="60">
                  <c:v>1.9583333333333333</c:v>
                </c:pt>
                <c:pt idx="61">
                  <c:v>2</c:v>
                </c:pt>
                <c:pt idx="62">
                  <c:v>2.0416666666666665</c:v>
                </c:pt>
                <c:pt idx="63">
                  <c:v>2.083333333333333</c:v>
                </c:pt>
                <c:pt idx="64">
                  <c:v>2.125</c:v>
                </c:pt>
                <c:pt idx="65">
                  <c:v>2.1666666666666665</c:v>
                </c:pt>
                <c:pt idx="66">
                  <c:v>2.208333333333333</c:v>
                </c:pt>
                <c:pt idx="67">
                  <c:v>2.25</c:v>
                </c:pt>
                <c:pt idx="68">
                  <c:v>2.2916666666666665</c:v>
                </c:pt>
                <c:pt idx="69">
                  <c:v>2.333333333333333</c:v>
                </c:pt>
                <c:pt idx="70">
                  <c:v>2.375</c:v>
                </c:pt>
                <c:pt idx="71">
                  <c:v>2.4166666666666665</c:v>
                </c:pt>
                <c:pt idx="72">
                  <c:v>2.458333333333333</c:v>
                </c:pt>
                <c:pt idx="73">
                  <c:v>2.5</c:v>
                </c:pt>
                <c:pt idx="74">
                  <c:v>3.333333333333333</c:v>
                </c:pt>
                <c:pt idx="75">
                  <c:v>5</c:v>
                </c:pt>
                <c:pt idx="76">
                  <c:v>6.6666666666666661</c:v>
                </c:pt>
                <c:pt idx="77">
                  <c:v>8.3333333333333321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3-4205-B8E3-01CDB635C01E}"/>
            </c:ext>
          </c:extLst>
        </c:ser>
        <c:ser>
          <c:idx val="3"/>
          <c:order val="1"/>
          <c:tx>
            <c:strRef>
              <c:f>Summary!$Q$68</c:f>
              <c:strCache>
                <c:ptCount val="1"/>
                <c:pt idx="0">
                  <c:v>(2) Navier-Stokes eq. with slip, L=∞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Summary!$P$69:$P$142</c:f>
              <c:numCache>
                <c:formatCode>General</c:formatCode>
                <c:ptCount val="7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</c:v>
                </c:pt>
                <c:pt idx="14">
                  <c:v>0.25</c:v>
                </c:pt>
                <c:pt idx="15">
                  <c:v>0.5</c:v>
                </c:pt>
                <c:pt idx="16">
                  <c:v>0.75</c:v>
                </c:pt>
                <c:pt idx="17">
                  <c:v>1</c:v>
                </c:pt>
                <c:pt idx="18">
                  <c:v>1.25</c:v>
                </c:pt>
                <c:pt idx="19">
                  <c:v>1.5</c:v>
                </c:pt>
                <c:pt idx="20">
                  <c:v>1.75</c:v>
                </c:pt>
                <c:pt idx="21">
                  <c:v>2</c:v>
                </c:pt>
                <c:pt idx="22">
                  <c:v>2.25</c:v>
                </c:pt>
                <c:pt idx="23">
                  <c:v>2.5</c:v>
                </c:pt>
                <c:pt idx="24">
                  <c:v>2.75</c:v>
                </c:pt>
                <c:pt idx="25">
                  <c:v>3</c:v>
                </c:pt>
                <c:pt idx="26">
                  <c:v>3.25</c:v>
                </c:pt>
                <c:pt idx="27">
                  <c:v>3.5</c:v>
                </c:pt>
                <c:pt idx="28">
                  <c:v>3.75</c:v>
                </c:pt>
                <c:pt idx="29">
                  <c:v>4</c:v>
                </c:pt>
                <c:pt idx="30">
                  <c:v>4.25</c:v>
                </c:pt>
                <c:pt idx="31">
                  <c:v>4.5</c:v>
                </c:pt>
                <c:pt idx="32">
                  <c:v>4.75</c:v>
                </c:pt>
                <c:pt idx="33">
                  <c:v>5</c:v>
                </c:pt>
                <c:pt idx="34">
                  <c:v>5.25</c:v>
                </c:pt>
                <c:pt idx="35">
                  <c:v>5.5</c:v>
                </c:pt>
                <c:pt idx="36">
                  <c:v>5.75</c:v>
                </c:pt>
                <c:pt idx="37">
                  <c:v>6</c:v>
                </c:pt>
                <c:pt idx="38">
                  <c:v>6.25</c:v>
                </c:pt>
                <c:pt idx="39">
                  <c:v>6.5</c:v>
                </c:pt>
                <c:pt idx="40">
                  <c:v>6.75</c:v>
                </c:pt>
                <c:pt idx="41">
                  <c:v>7</c:v>
                </c:pt>
                <c:pt idx="42">
                  <c:v>7.25</c:v>
                </c:pt>
                <c:pt idx="43">
                  <c:v>7.5</c:v>
                </c:pt>
                <c:pt idx="44">
                  <c:v>7.75</c:v>
                </c:pt>
                <c:pt idx="45">
                  <c:v>8</c:v>
                </c:pt>
                <c:pt idx="46">
                  <c:v>8.25</c:v>
                </c:pt>
                <c:pt idx="47">
                  <c:v>8.5</c:v>
                </c:pt>
                <c:pt idx="48">
                  <c:v>8.75</c:v>
                </c:pt>
                <c:pt idx="49">
                  <c:v>9</c:v>
                </c:pt>
                <c:pt idx="50">
                  <c:v>9.25</c:v>
                </c:pt>
                <c:pt idx="51">
                  <c:v>9.5</c:v>
                </c:pt>
                <c:pt idx="52">
                  <c:v>9.75</c:v>
                </c:pt>
                <c:pt idx="53">
                  <c:v>10</c:v>
                </c:pt>
                <c:pt idx="54">
                  <c:v>10.25</c:v>
                </c:pt>
                <c:pt idx="55">
                  <c:v>10.5</c:v>
                </c:pt>
                <c:pt idx="56">
                  <c:v>10.75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11.75</c:v>
                </c:pt>
                <c:pt idx="61">
                  <c:v>12</c:v>
                </c:pt>
                <c:pt idx="62">
                  <c:v>12.25</c:v>
                </c:pt>
                <c:pt idx="63">
                  <c:v>12.5</c:v>
                </c:pt>
                <c:pt idx="64">
                  <c:v>12.75</c:v>
                </c:pt>
                <c:pt idx="65">
                  <c:v>13</c:v>
                </c:pt>
                <c:pt idx="66">
                  <c:v>13.25</c:v>
                </c:pt>
                <c:pt idx="67">
                  <c:v>13.5</c:v>
                </c:pt>
                <c:pt idx="68">
                  <c:v>13.75</c:v>
                </c:pt>
                <c:pt idx="69">
                  <c:v>14</c:v>
                </c:pt>
                <c:pt idx="70">
                  <c:v>14.25</c:v>
                </c:pt>
                <c:pt idx="71">
                  <c:v>14.5</c:v>
                </c:pt>
                <c:pt idx="72">
                  <c:v>14.75</c:v>
                </c:pt>
                <c:pt idx="73">
                  <c:v>15</c:v>
                </c:pt>
              </c:numCache>
            </c:numRef>
          </c:xVal>
          <c:yVal>
            <c:numRef>
              <c:f>Summary!$Q$69:$Q$142</c:f>
              <c:numCache>
                <c:formatCode>General</c:formatCode>
                <c:ptCount val="74"/>
                <c:pt idx="0">
                  <c:v>1.1482666666666668</c:v>
                </c:pt>
                <c:pt idx="1">
                  <c:v>1.1499333333333335</c:v>
                </c:pt>
                <c:pt idx="2">
                  <c:v>1.1516</c:v>
                </c:pt>
                <c:pt idx="3">
                  <c:v>1.1532666666666667</c:v>
                </c:pt>
                <c:pt idx="4">
                  <c:v>1.1549333333333334</c:v>
                </c:pt>
                <c:pt idx="5">
                  <c:v>1.1566000000000001</c:v>
                </c:pt>
                <c:pt idx="6">
                  <c:v>1.1582666666666668</c:v>
                </c:pt>
                <c:pt idx="7">
                  <c:v>1.1599333333333335</c:v>
                </c:pt>
                <c:pt idx="8">
                  <c:v>1.1616</c:v>
                </c:pt>
                <c:pt idx="9">
                  <c:v>1.1632666666666667</c:v>
                </c:pt>
                <c:pt idx="10">
                  <c:v>1.1666000000000001</c:v>
                </c:pt>
                <c:pt idx="11">
                  <c:v>1.1699333333333335</c:v>
                </c:pt>
                <c:pt idx="12">
                  <c:v>1.1732666666666667</c:v>
                </c:pt>
                <c:pt idx="13">
                  <c:v>1.1799333333333335</c:v>
                </c:pt>
                <c:pt idx="14">
                  <c:v>1.1882666666666668</c:v>
                </c:pt>
                <c:pt idx="15">
                  <c:v>1.2299333333333333</c:v>
                </c:pt>
                <c:pt idx="16">
                  <c:v>1.2716000000000001</c:v>
                </c:pt>
                <c:pt idx="17">
                  <c:v>1.3132666666666668</c:v>
                </c:pt>
                <c:pt idx="18">
                  <c:v>1.3549333333333333</c:v>
                </c:pt>
                <c:pt idx="19">
                  <c:v>1.3966000000000001</c:v>
                </c:pt>
                <c:pt idx="20">
                  <c:v>1.4382666666666668</c:v>
                </c:pt>
                <c:pt idx="21">
                  <c:v>1.4799333333333333</c:v>
                </c:pt>
                <c:pt idx="22">
                  <c:v>1.5216000000000001</c:v>
                </c:pt>
                <c:pt idx="23">
                  <c:v>1.5632666666666668</c:v>
                </c:pt>
                <c:pt idx="24">
                  <c:v>1.6049333333333333</c:v>
                </c:pt>
                <c:pt idx="25">
                  <c:v>1.6466000000000001</c:v>
                </c:pt>
                <c:pt idx="26">
                  <c:v>1.6882666666666668</c:v>
                </c:pt>
                <c:pt idx="27">
                  <c:v>1.7299333333333333</c:v>
                </c:pt>
                <c:pt idx="28">
                  <c:v>1.7716000000000001</c:v>
                </c:pt>
                <c:pt idx="29">
                  <c:v>1.8132666666666668</c:v>
                </c:pt>
                <c:pt idx="30">
                  <c:v>1.8549333333333333</c:v>
                </c:pt>
                <c:pt idx="31">
                  <c:v>1.8966000000000001</c:v>
                </c:pt>
                <c:pt idx="32">
                  <c:v>1.9382666666666668</c:v>
                </c:pt>
                <c:pt idx="33">
                  <c:v>1.9799333333333333</c:v>
                </c:pt>
                <c:pt idx="34">
                  <c:v>2.0216000000000003</c:v>
                </c:pt>
                <c:pt idx="35">
                  <c:v>2.0632666666666668</c:v>
                </c:pt>
                <c:pt idx="36">
                  <c:v>2.1049333333333333</c:v>
                </c:pt>
                <c:pt idx="37">
                  <c:v>2.1466000000000003</c:v>
                </c:pt>
                <c:pt idx="38">
                  <c:v>2.1882666666666668</c:v>
                </c:pt>
                <c:pt idx="39">
                  <c:v>2.2299333333333333</c:v>
                </c:pt>
                <c:pt idx="40">
                  <c:v>2.2716000000000003</c:v>
                </c:pt>
                <c:pt idx="41">
                  <c:v>2.3132666666666668</c:v>
                </c:pt>
                <c:pt idx="42">
                  <c:v>2.3549333333333333</c:v>
                </c:pt>
                <c:pt idx="43">
                  <c:v>2.3966000000000003</c:v>
                </c:pt>
                <c:pt idx="44">
                  <c:v>2.4382666666666668</c:v>
                </c:pt>
                <c:pt idx="45">
                  <c:v>2.4799333333333333</c:v>
                </c:pt>
                <c:pt idx="46">
                  <c:v>2.5216000000000003</c:v>
                </c:pt>
                <c:pt idx="47">
                  <c:v>2.5632666666666668</c:v>
                </c:pt>
                <c:pt idx="48">
                  <c:v>2.6049333333333333</c:v>
                </c:pt>
                <c:pt idx="49">
                  <c:v>2.6466000000000003</c:v>
                </c:pt>
                <c:pt idx="50">
                  <c:v>2.6882666666666668</c:v>
                </c:pt>
                <c:pt idx="51">
                  <c:v>2.7299333333333333</c:v>
                </c:pt>
                <c:pt idx="52">
                  <c:v>2.7716000000000003</c:v>
                </c:pt>
                <c:pt idx="53">
                  <c:v>2.8132666666666668</c:v>
                </c:pt>
                <c:pt idx="54">
                  <c:v>2.8549333333333333</c:v>
                </c:pt>
                <c:pt idx="55">
                  <c:v>2.8966000000000003</c:v>
                </c:pt>
                <c:pt idx="56">
                  <c:v>2.9382666666666668</c:v>
                </c:pt>
                <c:pt idx="57">
                  <c:v>2.9799333333333333</c:v>
                </c:pt>
                <c:pt idx="58">
                  <c:v>3.0216000000000003</c:v>
                </c:pt>
                <c:pt idx="59">
                  <c:v>3.0632666666666668</c:v>
                </c:pt>
                <c:pt idx="60">
                  <c:v>3.1049333333333333</c:v>
                </c:pt>
                <c:pt idx="61">
                  <c:v>3.1466000000000003</c:v>
                </c:pt>
                <c:pt idx="62">
                  <c:v>3.1882666666666664</c:v>
                </c:pt>
                <c:pt idx="63">
                  <c:v>3.2299333333333333</c:v>
                </c:pt>
                <c:pt idx="64">
                  <c:v>3.2716000000000003</c:v>
                </c:pt>
                <c:pt idx="65">
                  <c:v>3.3132666666666664</c:v>
                </c:pt>
                <c:pt idx="66">
                  <c:v>3.3549333333333333</c:v>
                </c:pt>
                <c:pt idx="67">
                  <c:v>3.3966000000000003</c:v>
                </c:pt>
                <c:pt idx="68">
                  <c:v>3.4382666666666664</c:v>
                </c:pt>
                <c:pt idx="69">
                  <c:v>3.4799333333333333</c:v>
                </c:pt>
                <c:pt idx="70">
                  <c:v>3.5216000000000003</c:v>
                </c:pt>
                <c:pt idx="71">
                  <c:v>3.5632666666666664</c:v>
                </c:pt>
                <c:pt idx="72">
                  <c:v>3.6049333333333333</c:v>
                </c:pt>
                <c:pt idx="73">
                  <c:v>3.6466000000000003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3-4205-B8E3-01CDB635C01E}"/>
            </c:ext>
          </c:extLst>
        </c:ser>
        <c:ser>
          <c:idx val="2"/>
          <c:order val="2"/>
          <c:tx>
            <c:strRef>
              <c:f>Summary!$O$68</c:f>
              <c:strCache>
                <c:ptCount val="1"/>
                <c:pt idx="0">
                  <c:v>(3) Solution for Kn&lt;&lt;1 (Cercignani, 1975), L=∞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Summary!$P$83:$P$142</c:f>
              <c:numCache>
                <c:formatCode>General</c:formatCode>
                <c:ptCount val="6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</c:numCache>
            </c:numRef>
          </c:xVal>
          <c:yVal>
            <c:numRef>
              <c:f>Summary!$O$83:$O$142</c:f>
              <c:numCache>
                <c:formatCode>General</c:formatCode>
                <c:ptCount val="60"/>
                <c:pt idx="0">
                  <c:v>6.6128409677260169</c:v>
                </c:pt>
                <c:pt idx="1">
                  <c:v>3.9422204838630086</c:v>
                </c:pt>
                <c:pt idx="2">
                  <c:v>3.0797914336864505</c:v>
                </c:pt>
                <c:pt idx="3">
                  <c:v>2.6694102419315042</c:v>
                </c:pt>
                <c:pt idx="4">
                  <c:v>2.4398481935452034</c:v>
                </c:pt>
                <c:pt idx="5">
                  <c:v>2.3006957168432249</c:v>
                </c:pt>
                <c:pt idx="6">
                  <c:v>2.2132058525322882</c:v>
                </c:pt>
                <c:pt idx="7">
                  <c:v>2.1580051209657523</c:v>
                </c:pt>
                <c:pt idx="8">
                  <c:v>2.1243304778954837</c:v>
                </c:pt>
                <c:pt idx="9">
                  <c:v>2.1057240967726019</c:v>
                </c:pt>
                <c:pt idx="10">
                  <c:v>2.0980764516114561</c:v>
                </c:pt>
                <c:pt idx="11">
                  <c:v>2.0986478584216126</c:v>
                </c:pt>
                <c:pt idx="12">
                  <c:v>2.1055416129020017</c:v>
                </c:pt>
                <c:pt idx="13">
                  <c:v>2.117402926266144</c:v>
                </c:pt>
                <c:pt idx="14">
                  <c:v>2.1332382867372903</c:v>
                </c:pt>
                <c:pt idx="15">
                  <c:v>2.1523025604828763</c:v>
                </c:pt>
                <c:pt idx="16">
                  <c:v>2.174025939278001</c:v>
                </c:pt>
                <c:pt idx="17">
                  <c:v>2.1979652389477415</c:v>
                </c:pt>
                <c:pt idx="18">
                  <c:v>2.2237705772487377</c:v>
                </c:pt>
                <c:pt idx="19">
                  <c:v>2.2511620483863011</c:v>
                </c:pt>
                <c:pt idx="20">
                  <c:v>2.2799130619552073</c:v>
                </c:pt>
                <c:pt idx="21">
                  <c:v>2.3098382258057284</c:v>
                </c:pt>
                <c:pt idx="22">
                  <c:v>2.3407843899011311</c:v>
                </c:pt>
                <c:pt idx="23">
                  <c:v>2.3726239292108064</c:v>
                </c:pt>
                <c:pt idx="24">
                  <c:v>2.4052496387090403</c:v>
                </c:pt>
                <c:pt idx="25">
                  <c:v>2.4385708064510005</c:v>
                </c:pt>
                <c:pt idx="26">
                  <c:v>2.4725101592984946</c:v>
                </c:pt>
                <c:pt idx="27">
                  <c:v>2.5070014631330717</c:v>
                </c:pt>
                <c:pt idx="28">
                  <c:v>2.541987619576759</c:v>
                </c:pt>
                <c:pt idx="29">
                  <c:v>2.5774191433686453</c:v>
                </c:pt>
                <c:pt idx="30">
                  <c:v>2.6132529344427744</c:v>
                </c:pt>
                <c:pt idx="31">
                  <c:v>2.6494512802414381</c:v>
                </c:pt>
                <c:pt idx="32">
                  <c:v>2.6859810394260411</c:v>
                </c:pt>
                <c:pt idx="33">
                  <c:v>2.7228129696390004</c:v>
                </c:pt>
                <c:pt idx="34">
                  <c:v>2.7599211705064577</c:v>
                </c:pt>
                <c:pt idx="35">
                  <c:v>2.7972826194738714</c:v>
                </c:pt>
                <c:pt idx="36">
                  <c:v>2.8348767829115138</c:v>
                </c:pt>
                <c:pt idx="37">
                  <c:v>2.872685288624369</c:v>
                </c:pt>
                <c:pt idx="38">
                  <c:v>2.9106916487451118</c:v>
                </c:pt>
                <c:pt idx="39">
                  <c:v>2.9488810241931502</c:v>
                </c:pt>
                <c:pt idx="40">
                  <c:v>2.9872400236030736</c:v>
                </c:pt>
                <c:pt idx="41">
                  <c:v>3.025756530977604</c:v>
                </c:pt>
                <c:pt idx="42">
                  <c:v>3.0644195573889768</c:v>
                </c:pt>
                <c:pt idx="43">
                  <c:v>3.1032191129028641</c:v>
                </c:pt>
                <c:pt idx="44">
                  <c:v>3.142146095579097</c:v>
                </c:pt>
                <c:pt idx="45">
                  <c:v>3.1811921949505653</c:v>
                </c:pt>
                <c:pt idx="46">
                  <c:v>3.2203498078239576</c:v>
                </c:pt>
                <c:pt idx="47">
                  <c:v>3.2596119646054036</c:v>
                </c:pt>
                <c:pt idx="48">
                  <c:v>3.2989722646474693</c:v>
                </c:pt>
                <c:pt idx="49">
                  <c:v>3.3384248193545205</c:v>
                </c:pt>
                <c:pt idx="50">
                  <c:v>3.3779642019815563</c:v>
                </c:pt>
                <c:pt idx="51">
                  <c:v>3.4175854032255</c:v>
                </c:pt>
                <c:pt idx="52">
                  <c:v>3.4572837918438872</c:v>
                </c:pt>
                <c:pt idx="53">
                  <c:v>3.4970550796492477</c:v>
                </c:pt>
                <c:pt idx="54">
                  <c:v>3.536895290322291</c:v>
                </c:pt>
                <c:pt idx="55">
                  <c:v>3.5768007315665362</c:v>
                </c:pt>
                <c:pt idx="56">
                  <c:v>3.6167679701940241</c:v>
                </c:pt>
                <c:pt idx="57">
                  <c:v>3.6567938097883794</c:v>
                </c:pt>
                <c:pt idx="58">
                  <c:v>3.6968752706394241</c:v>
                </c:pt>
                <c:pt idx="59">
                  <c:v>3.7370095716843226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3-4205-B8E3-01CDB635C01E}"/>
            </c:ext>
          </c:extLst>
        </c:ser>
        <c:ser>
          <c:idx val="4"/>
          <c:order val="3"/>
          <c:tx>
            <c:strRef>
              <c:f>Summary!$B$102</c:f>
              <c:strCache>
                <c:ptCount val="1"/>
                <c:pt idx="0">
                  <c:v>(4) BGK (Cercignani, Pagani, 1966), L=∞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Summary!$E$103:$E$148</c:f>
              <c:numCache>
                <c:formatCode>General</c:formatCode>
                <c:ptCount val="46"/>
                <c:pt idx="0">
                  <c:v>1.1283791670955126E-2</c:v>
                </c:pt>
                <c:pt idx="1">
                  <c:v>2.2567583341910252E-2</c:v>
                </c:pt>
                <c:pt idx="2">
                  <c:v>3.3851375012865378E-2</c:v>
                </c:pt>
                <c:pt idx="3">
                  <c:v>4.5135166683820505E-2</c:v>
                </c:pt>
                <c:pt idx="4">
                  <c:v>5.6418958354775638E-2</c:v>
                </c:pt>
                <c:pt idx="5">
                  <c:v>6.7702750025730757E-2</c:v>
                </c:pt>
                <c:pt idx="6">
                  <c:v>7.8986541696685897E-2</c:v>
                </c:pt>
                <c:pt idx="7">
                  <c:v>9.0270333367641009E-2</c:v>
                </c:pt>
                <c:pt idx="8">
                  <c:v>0.10155412503859614</c:v>
                </c:pt>
                <c:pt idx="9">
                  <c:v>0.11283791670955128</c:v>
                </c:pt>
                <c:pt idx="10">
                  <c:v>0.22567583341910255</c:v>
                </c:pt>
                <c:pt idx="11">
                  <c:v>0.33851375012865381</c:v>
                </c:pt>
                <c:pt idx="12">
                  <c:v>0.4513516668382051</c:v>
                </c:pt>
                <c:pt idx="13">
                  <c:v>0.56418958354775628</c:v>
                </c:pt>
                <c:pt idx="14">
                  <c:v>0.67702750025730762</c:v>
                </c:pt>
                <c:pt idx="15">
                  <c:v>0.78986541696685886</c:v>
                </c:pt>
                <c:pt idx="16">
                  <c:v>0.9027033336764102</c:v>
                </c:pt>
                <c:pt idx="17">
                  <c:v>1.0155412503859613</c:v>
                </c:pt>
                <c:pt idx="18">
                  <c:v>1.1283791670955126</c:v>
                </c:pt>
                <c:pt idx="19">
                  <c:v>1.241217083805064</c:v>
                </c:pt>
                <c:pt idx="20">
                  <c:v>1.3540550005146152</c:v>
                </c:pt>
                <c:pt idx="21">
                  <c:v>1.4668929172241665</c:v>
                </c:pt>
                <c:pt idx="22">
                  <c:v>1.5797308339337177</c:v>
                </c:pt>
                <c:pt idx="23">
                  <c:v>1.6925687506432689</c:v>
                </c:pt>
                <c:pt idx="24">
                  <c:v>1.8054066673528204</c:v>
                </c:pt>
                <c:pt idx="25">
                  <c:v>1.9182445840623714</c:v>
                </c:pt>
                <c:pt idx="26">
                  <c:v>2.0310825007719226</c:v>
                </c:pt>
                <c:pt idx="27">
                  <c:v>2.1439204174814739</c:v>
                </c:pt>
                <c:pt idx="28">
                  <c:v>2.2567583341910251</c:v>
                </c:pt>
                <c:pt idx="29">
                  <c:v>2.8209479177387817</c:v>
                </c:pt>
                <c:pt idx="30">
                  <c:v>3.3851375012865379</c:v>
                </c:pt>
                <c:pt idx="31">
                  <c:v>3.9493270848342945</c:v>
                </c:pt>
                <c:pt idx="32">
                  <c:v>4.5135166683820502</c:v>
                </c:pt>
                <c:pt idx="33">
                  <c:v>5.0777062519298068</c:v>
                </c:pt>
                <c:pt idx="34">
                  <c:v>5.6418958354775635</c:v>
                </c:pt>
                <c:pt idx="35">
                  <c:v>6.2060854190253201</c:v>
                </c:pt>
                <c:pt idx="36">
                  <c:v>6.7702750025730758</c:v>
                </c:pt>
                <c:pt idx="37">
                  <c:v>7.3344645861208324</c:v>
                </c:pt>
                <c:pt idx="38">
                  <c:v>7.898654169668589</c:v>
                </c:pt>
                <c:pt idx="39">
                  <c:v>8.4628437532163456</c:v>
                </c:pt>
                <c:pt idx="40">
                  <c:v>9.0270333367641005</c:v>
                </c:pt>
                <c:pt idx="41">
                  <c:v>9.5912229203118571</c:v>
                </c:pt>
                <c:pt idx="42">
                  <c:v>10.155412503859614</c:v>
                </c:pt>
                <c:pt idx="43">
                  <c:v>10.71960208740737</c:v>
                </c:pt>
                <c:pt idx="44">
                  <c:v>11.283791670955127</c:v>
                </c:pt>
                <c:pt idx="45">
                  <c:v>11.847981254502884</c:v>
                </c:pt>
              </c:numCache>
            </c:numRef>
          </c:xVal>
          <c:yVal>
            <c:numRef>
              <c:f>Summary!$D$103:$D$148</c:f>
              <c:numCache>
                <c:formatCode>General</c:formatCode>
                <c:ptCount val="46"/>
                <c:pt idx="0">
                  <c:v>3.4403152425575088</c:v>
                </c:pt>
                <c:pt idx="1">
                  <c:v>3.0586974082458065</c:v>
                </c:pt>
                <c:pt idx="2">
                  <c:v>2.8473519902488169</c:v>
                </c:pt>
                <c:pt idx="3">
                  <c:v>2.7040478360276863</c:v>
                </c:pt>
                <c:pt idx="4">
                  <c:v>2.597077490987032</c:v>
                </c:pt>
                <c:pt idx="5">
                  <c:v>2.5069199955361001</c:v>
                </c:pt>
                <c:pt idx="6">
                  <c:v>2.4435050863453327</c:v>
                </c:pt>
                <c:pt idx="7">
                  <c:v>2.3853935592399136</c:v>
                </c:pt>
                <c:pt idx="8">
                  <c:v>2.3355192000542919</c:v>
                </c:pt>
                <c:pt idx="9">
                  <c:v>2.2921894400378244</c:v>
                </c:pt>
                <c:pt idx="10">
                  <c:v>2.0399966961919773</c:v>
                </c:pt>
                <c:pt idx="11">
                  <c:v>1.9286256723996502</c:v>
                </c:pt>
                <c:pt idx="12">
                  <c:v>1.8514445373703172</c:v>
                </c:pt>
                <c:pt idx="13">
                  <c:v>1.8073249119368826</c:v>
                </c:pt>
                <c:pt idx="14">
                  <c:v>1.7784384052592377</c:v>
                </c:pt>
                <c:pt idx="15">
                  <c:v>1.7592559594186137</c:v>
                </c:pt>
                <c:pt idx="16">
                  <c:v>1.7469566264972727</c:v>
                </c:pt>
                <c:pt idx="17">
                  <c:v>1.7395093239944424</c:v>
                </c:pt>
                <c:pt idx="18">
                  <c:v>1.7364627002432844</c:v>
                </c:pt>
                <c:pt idx="19">
                  <c:v>1.7353343210761889</c:v>
                </c:pt>
                <c:pt idx="20">
                  <c:v>1.7370268898268324</c:v>
                </c:pt>
                <c:pt idx="21">
                  <c:v>1.7407505410782473</c:v>
                </c:pt>
                <c:pt idx="22">
                  <c:v>1.7459410852468866</c:v>
                </c:pt>
                <c:pt idx="23">
                  <c:v>1.7523728464993311</c:v>
                </c:pt>
                <c:pt idx="24">
                  <c:v>1.7600458248355808</c:v>
                </c:pt>
                <c:pt idx="25">
                  <c:v>1.7686215065055064</c:v>
                </c:pt>
                <c:pt idx="26">
                  <c:v>1.7779870535923994</c:v>
                </c:pt>
                <c:pt idx="27">
                  <c:v>1.7881424660962588</c:v>
                </c:pt>
                <c:pt idx="28">
                  <c:v>1.7988620681836665</c:v>
                </c:pt>
                <c:pt idx="29">
                  <c:v>1.8595688673734048</c:v>
                </c:pt>
                <c:pt idx="30">
                  <c:v>1.9286256723996502</c:v>
                </c:pt>
                <c:pt idx="31">
                  <c:v>2.0029858595112446</c:v>
                </c:pt>
                <c:pt idx="32">
                  <c:v>2.0807311841241254</c:v>
                </c:pt>
                <c:pt idx="33">
                  <c:v>2.1611846187380355</c:v>
                </c:pt>
                <c:pt idx="34">
                  <c:v>2.2435562979360077</c:v>
                </c:pt>
                <c:pt idx="35">
                  <c:v>2.3275077079679138</c:v>
                </c:pt>
                <c:pt idx="36">
                  <c:v>2.4125874971669159</c:v>
                </c:pt>
                <c:pt idx="37">
                  <c:v>2.4986828276163031</c:v>
                </c:pt>
                <c:pt idx="38">
                  <c:v>2.5855680234826575</c:v>
                </c:pt>
                <c:pt idx="39">
                  <c:v>2.6731302468492699</c:v>
                </c:pt>
                <c:pt idx="40">
                  <c:v>2.7613694977161387</c:v>
                </c:pt>
                <c:pt idx="41">
                  <c:v>2.8500601002498458</c:v>
                </c:pt>
                <c:pt idx="42">
                  <c:v>2.9392020544503912</c:v>
                </c:pt>
                <c:pt idx="43">
                  <c:v>2.9384121890334245</c:v>
                </c:pt>
                <c:pt idx="44">
                  <c:v>3.1186143420185779</c:v>
                </c:pt>
                <c:pt idx="45">
                  <c:v>3.2088846753862188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3-4205-B8E3-01CDB635C01E}"/>
            </c:ext>
          </c:extLst>
        </c:ser>
        <c:ser>
          <c:idx val="7"/>
          <c:order val="4"/>
          <c:tx>
            <c:strRef>
              <c:f>Summary!$F$178</c:f>
              <c:strCache>
                <c:ptCount val="1"/>
                <c:pt idx="0">
                  <c:v>(5) BGK (Cercignani, Neudachin, 1979), L=30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Summary!$H$181:$H$194</c:f>
              <c:numCache>
                <c:formatCode>General</c:formatCode>
                <c:ptCount val="14"/>
                <c:pt idx="0">
                  <c:v>3.0365306786882883E-3</c:v>
                </c:pt>
                <c:pt idx="1">
                  <c:v>1.1306154205622311E-2</c:v>
                </c:pt>
                <c:pt idx="2">
                  <c:v>2.5358978618061245E-2</c:v>
                </c:pt>
                <c:pt idx="3">
                  <c:v>5.2547831830448088E-2</c:v>
                </c:pt>
                <c:pt idx="4">
                  <c:v>9.6691240387863461E-2</c:v>
                </c:pt>
                <c:pt idx="5">
                  <c:v>0.1696614507446832</c:v>
                </c:pt>
                <c:pt idx="6">
                  <c:v>0.26435559546062132</c:v>
                </c:pt>
                <c:pt idx="7">
                  <c:v>0.40223114532988807</c:v>
                </c:pt>
                <c:pt idx="8">
                  <c:v>0.5790115373344783</c:v>
                </c:pt>
                <c:pt idx="9">
                  <c:v>1.1623923356485302</c:v>
                </c:pt>
                <c:pt idx="10">
                  <c:v>2.777695517608568</c:v>
                </c:pt>
                <c:pt idx="11">
                  <c:v>5.2756319752069105</c:v>
                </c:pt>
                <c:pt idx="12">
                  <c:v>8.0271555744033964</c:v>
                </c:pt>
                <c:pt idx="13">
                  <c:v>11.555086530523312</c:v>
                </c:pt>
              </c:numCache>
            </c:numRef>
          </c:xVal>
          <c:yVal>
            <c:numRef>
              <c:f>Summary!$G$181:$G$194</c:f>
              <c:numCache>
                <c:formatCode>General</c:formatCode>
                <c:ptCount val="14"/>
                <c:pt idx="0">
                  <c:v>2.479648046209892</c:v>
                </c:pt>
                <c:pt idx="1">
                  <c:v>2.4429408967617849</c:v>
                </c:pt>
                <c:pt idx="2">
                  <c:v>2.3801437104871837</c:v>
                </c:pt>
                <c:pt idx="3">
                  <c:v>2.3025303286234711</c:v>
                </c:pt>
                <c:pt idx="4">
                  <c:v>2.1970557327574007</c:v>
                </c:pt>
                <c:pt idx="5">
                  <c:v>2.0856108767479671</c:v>
                </c:pt>
                <c:pt idx="6">
                  <c:v>1.9662056738807172</c:v>
                </c:pt>
                <c:pt idx="7">
                  <c:v>1.8686914248724624</c:v>
                </c:pt>
                <c:pt idx="8">
                  <c:v>1.7970483031521127</c:v>
                </c:pt>
                <c:pt idx="9">
                  <c:v>1.7489877089980448</c:v>
                </c:pt>
                <c:pt idx="10">
                  <c:v>1.873109417378551</c:v>
                </c:pt>
                <c:pt idx="11">
                  <c:v>2.2454745425200704</c:v>
                </c:pt>
                <c:pt idx="12">
                  <c:v>2.6607459372252209</c:v>
                </c:pt>
                <c:pt idx="13">
                  <c:v>3.1594616678674354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B3-4205-B8E3-01CDB635C01E}"/>
            </c:ext>
          </c:extLst>
        </c:ser>
        <c:ser>
          <c:idx val="5"/>
          <c:order val="5"/>
          <c:tx>
            <c:strRef>
              <c:f>Summary!$L$177</c:f>
              <c:strCache>
                <c:ptCount val="1"/>
                <c:pt idx="0">
                  <c:v>(6) BGK (Cercignani, Neudachin, 1979), L=10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Summary!$N$181:$N$194</c:f>
              <c:numCache>
                <c:formatCode>General</c:formatCode>
                <c:ptCount val="14"/>
                <c:pt idx="0">
                  <c:v>3.0365306786882883E-3</c:v>
                </c:pt>
                <c:pt idx="1">
                  <c:v>1.1306154205622311E-2</c:v>
                </c:pt>
                <c:pt idx="2">
                  <c:v>2.5358978618061245E-2</c:v>
                </c:pt>
                <c:pt idx="3">
                  <c:v>5.2547831830448088E-2</c:v>
                </c:pt>
                <c:pt idx="4">
                  <c:v>9.6691240387863461E-2</c:v>
                </c:pt>
                <c:pt idx="5">
                  <c:v>0.1696614507446832</c:v>
                </c:pt>
                <c:pt idx="6">
                  <c:v>0.26435559546062132</c:v>
                </c:pt>
                <c:pt idx="7">
                  <c:v>0.40223114532988807</c:v>
                </c:pt>
                <c:pt idx="8">
                  <c:v>0.5790115373344783</c:v>
                </c:pt>
                <c:pt idx="9">
                  <c:v>0.9027033336764102</c:v>
                </c:pt>
                <c:pt idx="10">
                  <c:v>1.3540550005146152</c:v>
                </c:pt>
                <c:pt idx="11">
                  <c:v>2.777695517608568</c:v>
                </c:pt>
                <c:pt idx="12">
                  <c:v>5.2756319752069105</c:v>
                </c:pt>
                <c:pt idx="13">
                  <c:v>8.0271555744033964</c:v>
                </c:pt>
              </c:numCache>
            </c:numRef>
          </c:xVal>
          <c:yVal>
            <c:numRef>
              <c:f>Summary!$M$181:$M$194</c:f>
              <c:numCache>
                <c:formatCode>General</c:formatCode>
                <c:ptCount val="14"/>
                <c:pt idx="0">
                  <c:v>1.7997647715173426</c:v>
                </c:pt>
                <c:pt idx="1">
                  <c:v>1.7997647715173426</c:v>
                </c:pt>
                <c:pt idx="2">
                  <c:v>1.7941228756818652</c:v>
                </c:pt>
                <c:pt idx="3">
                  <c:v>1.7828390840109101</c:v>
                </c:pt>
                <c:pt idx="4">
                  <c:v>1.7715552923399549</c:v>
                </c:pt>
                <c:pt idx="5">
                  <c:v>1.7602715006689997</c:v>
                </c:pt>
                <c:pt idx="6">
                  <c:v>1.7546296048335221</c:v>
                </c:pt>
                <c:pt idx="7">
                  <c:v>1.7377039173270896</c:v>
                </c:pt>
                <c:pt idx="8">
                  <c:v>1.7264201256561345</c:v>
                </c:pt>
                <c:pt idx="9">
                  <c:v>1.7151363339851793</c:v>
                </c:pt>
                <c:pt idx="10">
                  <c:v>1.7264201256561345</c:v>
                </c:pt>
                <c:pt idx="11">
                  <c:v>1.873109417378551</c:v>
                </c:pt>
                <c:pt idx="12">
                  <c:v>2.2454745425200704</c:v>
                </c:pt>
                <c:pt idx="13">
                  <c:v>2.6607459372252209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3-4205-B8E3-01CDB635C01E}"/>
            </c:ext>
          </c:extLst>
        </c:ser>
        <c:ser>
          <c:idx val="6"/>
          <c:order val="6"/>
          <c:tx>
            <c:strRef>
              <c:f>Summary!$E$236</c:f>
              <c:strCache>
                <c:ptCount val="1"/>
                <c:pt idx="0">
                  <c:v>(7) EDMD, L=30, Statement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Summary!$Z$240:$Z$253</c:f>
              <c:numCache>
                <c:formatCode>General</c:formatCode>
                <c:ptCount val="14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0.125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3.0303030303030303</c:v>
                </c:pt>
              </c:numCache>
            </c:numRef>
          </c:xVal>
          <c:yVal>
            <c:numRef>
              <c:f>Summary!$BV$240:$BV$253</c:f>
              <c:numCache>
                <c:formatCode>General</c:formatCode>
                <c:ptCount val="14"/>
                <c:pt idx="0">
                  <c:v>2.4873162236482669</c:v>
                </c:pt>
                <c:pt idx="1">
                  <c:v>2.4367106744144293</c:v>
                </c:pt>
                <c:pt idx="2">
                  <c:v>2.3789415076101434</c:v>
                </c:pt>
                <c:pt idx="3">
                  <c:v>2.3174838591868907</c:v>
                </c:pt>
                <c:pt idx="4">
                  <c:v>2.1587945817753575</c:v>
                </c:pt>
                <c:pt idx="5">
                  <c:v>2.1498035679858694</c:v>
                </c:pt>
                <c:pt idx="6">
                  <c:v>2.110822550185242</c:v>
                </c:pt>
                <c:pt idx="7">
                  <c:v>2.0013739190372246</c:v>
                </c:pt>
                <c:pt idx="8">
                  <c:v>2.0010903599790799</c:v>
                </c:pt>
                <c:pt idx="9">
                  <c:v>1.8752277134227022</c:v>
                </c:pt>
                <c:pt idx="11">
                  <c:v>1.7658565496845167</c:v>
                </c:pt>
                <c:pt idx="12">
                  <c:v>1.8417566254182243</c:v>
                </c:pt>
                <c:pt idx="13">
                  <c:v>1.9696944299656494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B3-4205-B8E3-01CDB635C01E}"/>
            </c:ext>
          </c:extLst>
        </c:ser>
        <c:ser>
          <c:idx val="1"/>
          <c:order val="7"/>
          <c:tx>
            <c:strRef>
              <c:f>Summary!$B$260</c:f>
              <c:strCache>
                <c:ptCount val="1"/>
                <c:pt idx="0">
                  <c:v>(8) EDMD, L=10, Statement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Summary!$D$262:$D$272</c:f>
              <c:numCache>
                <c:formatCode>General</c:formatCode>
                <c:ptCount val="11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</c:numCache>
            </c:numRef>
          </c:xVal>
          <c:yVal>
            <c:numRef>
              <c:f>Summary!$S$262:$S$272</c:f>
              <c:numCache>
                <c:formatCode>General</c:formatCode>
                <c:ptCount val="11"/>
                <c:pt idx="0">
                  <c:v>2.0626824876705387</c:v>
                </c:pt>
                <c:pt idx="1">
                  <c:v>1.9947017082524414</c:v>
                </c:pt>
                <c:pt idx="2">
                  <c:v>2.0019068480644013</c:v>
                </c:pt>
                <c:pt idx="3">
                  <c:v>1.9756256114290456</c:v>
                </c:pt>
                <c:pt idx="4">
                  <c:v>1.963509947168729</c:v>
                </c:pt>
                <c:pt idx="5">
                  <c:v>1.8830625816698923</c:v>
                </c:pt>
                <c:pt idx="6">
                  <c:v>1.8213209179196863</c:v>
                </c:pt>
                <c:pt idx="7">
                  <c:v>1.7963081855909599</c:v>
                </c:pt>
                <c:pt idx="8">
                  <c:v>1.7205219599260182</c:v>
                </c:pt>
                <c:pt idx="9">
                  <c:v>1.7929560819457535</c:v>
                </c:pt>
                <c:pt idx="10">
                  <c:v>1.8796058569737273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B3-4205-B8E3-01CDB635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16096"/>
        <c:axId val="723010656"/>
      </c:scatterChart>
      <c:valAx>
        <c:axId val="723016096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010656"/>
        <c:crossesAt val="0"/>
        <c:crossBetween val="midCat"/>
      </c:valAx>
      <c:valAx>
        <c:axId val="72301065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016096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789058625736299E-2"/>
          <c:y val="0.61300556251115068"/>
          <c:w val="0.4339989759344598"/>
          <c:h val="0.24129510320384434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N-S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Summary!$C$16:$W$16</c:f>
              <c:numCache>
                <c:formatCode>General</c:formatCode>
                <c:ptCount val="21"/>
                <c:pt idx="0">
                  <c:v>0.25</c:v>
                </c:pt>
                <c:pt idx="1">
                  <c:v>0.24937500000000001</c:v>
                </c:pt>
                <c:pt idx="2">
                  <c:v>0.2475</c:v>
                </c:pt>
                <c:pt idx="3">
                  <c:v>0.24437500000000001</c:v>
                </c:pt>
                <c:pt idx="4">
                  <c:v>0.24</c:v>
                </c:pt>
                <c:pt idx="5">
                  <c:v>0.234375</c:v>
                </c:pt>
                <c:pt idx="6">
                  <c:v>0.22750000000000001</c:v>
                </c:pt>
                <c:pt idx="7">
                  <c:v>0.21937500000000001</c:v>
                </c:pt>
                <c:pt idx="8">
                  <c:v>0.21</c:v>
                </c:pt>
                <c:pt idx="9">
                  <c:v>0.199375</c:v>
                </c:pt>
                <c:pt idx="10">
                  <c:v>0.1875</c:v>
                </c:pt>
                <c:pt idx="11">
                  <c:v>0.174375</c:v>
                </c:pt>
                <c:pt idx="12">
                  <c:v>0.16</c:v>
                </c:pt>
                <c:pt idx="13">
                  <c:v>0.14437499999999998</c:v>
                </c:pt>
                <c:pt idx="14">
                  <c:v>0.1275</c:v>
                </c:pt>
                <c:pt idx="15">
                  <c:v>0.109375</c:v>
                </c:pt>
                <c:pt idx="16">
                  <c:v>8.9999999999999969E-2</c:v>
                </c:pt>
                <c:pt idx="17">
                  <c:v>6.937500000000002E-2</c:v>
                </c:pt>
                <c:pt idx="18">
                  <c:v>4.7499999999999987E-2</c:v>
                </c:pt>
                <c:pt idx="19">
                  <c:v>2.4375000000000008E-2</c:v>
                </c:pt>
                <c:pt idx="20">
                  <c:v>0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F-4523-8FA2-CB0D96FFEE3A}"/>
            </c:ext>
          </c:extLst>
        </c:ser>
        <c:ser>
          <c:idx val="5"/>
          <c:order val="1"/>
          <c:tx>
            <c:strRef>
              <c:f>Summary!$B$25</c:f>
              <c:strCache>
                <c:ptCount val="1"/>
                <c:pt idx="0">
                  <c:v>N-S + Slip (Kn=0,18)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Summary!$C$25:$W$25</c:f>
              <c:numCache>
                <c:formatCode>General</c:formatCode>
                <c:ptCount val="21"/>
                <c:pt idx="0">
                  <c:v>0.45638800000000002</c:v>
                </c:pt>
                <c:pt idx="1">
                  <c:v>0.45576300000000003</c:v>
                </c:pt>
                <c:pt idx="2">
                  <c:v>0.45388800000000001</c:v>
                </c:pt>
                <c:pt idx="3">
                  <c:v>0.45076300000000002</c:v>
                </c:pt>
                <c:pt idx="4">
                  <c:v>0.44638800000000001</c:v>
                </c:pt>
                <c:pt idx="5">
                  <c:v>0.44076300000000002</c:v>
                </c:pt>
                <c:pt idx="6">
                  <c:v>0.43388800000000005</c:v>
                </c:pt>
                <c:pt idx="7">
                  <c:v>0.425763</c:v>
                </c:pt>
                <c:pt idx="8">
                  <c:v>0.41638799999999998</c:v>
                </c:pt>
                <c:pt idx="9">
                  <c:v>0.40576299999999998</c:v>
                </c:pt>
                <c:pt idx="10">
                  <c:v>0.39388800000000002</c:v>
                </c:pt>
                <c:pt idx="11">
                  <c:v>0.38076300000000002</c:v>
                </c:pt>
                <c:pt idx="12">
                  <c:v>0.36638800000000005</c:v>
                </c:pt>
                <c:pt idx="13">
                  <c:v>0.35076299999999999</c:v>
                </c:pt>
                <c:pt idx="14">
                  <c:v>0.33388800000000002</c:v>
                </c:pt>
                <c:pt idx="15">
                  <c:v>0.31576300000000002</c:v>
                </c:pt>
                <c:pt idx="16">
                  <c:v>0.29638799999999998</c:v>
                </c:pt>
                <c:pt idx="17">
                  <c:v>0.27576300000000004</c:v>
                </c:pt>
                <c:pt idx="18">
                  <c:v>0.253888</c:v>
                </c:pt>
                <c:pt idx="19">
                  <c:v>0.23076300000000002</c:v>
                </c:pt>
                <c:pt idx="20">
                  <c:v>0.20638800000000002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F-4523-8FA2-CB0D96FFEE3A}"/>
            </c:ext>
          </c:extLst>
        </c:ser>
        <c:ser>
          <c:idx val="1"/>
          <c:order val="2"/>
          <c:tx>
            <c:strRef>
              <c:f>Summary!$B$17</c:f>
              <c:strCache>
                <c:ptCount val="1"/>
                <c:pt idx="0">
                  <c:v>N-S + Slip (Kn=0,37)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Summary!$C$17:$W$17</c:f>
              <c:numCache>
                <c:formatCode>General</c:formatCode>
                <c:ptCount val="21"/>
                <c:pt idx="0">
                  <c:v>0.67424200000000001</c:v>
                </c:pt>
                <c:pt idx="1">
                  <c:v>0.67361700000000002</c:v>
                </c:pt>
                <c:pt idx="2">
                  <c:v>0.67174200000000006</c:v>
                </c:pt>
                <c:pt idx="3">
                  <c:v>0.66861700000000002</c:v>
                </c:pt>
                <c:pt idx="4">
                  <c:v>0.664242</c:v>
                </c:pt>
                <c:pt idx="5">
                  <c:v>0.65861700000000001</c:v>
                </c:pt>
                <c:pt idx="6">
                  <c:v>0.65174200000000004</c:v>
                </c:pt>
                <c:pt idx="7">
                  <c:v>0.64361699999999999</c:v>
                </c:pt>
                <c:pt idx="8">
                  <c:v>0.63424199999999997</c:v>
                </c:pt>
                <c:pt idx="9">
                  <c:v>0.62361699999999998</c:v>
                </c:pt>
                <c:pt idx="10">
                  <c:v>0.61174200000000001</c:v>
                </c:pt>
                <c:pt idx="11">
                  <c:v>0.59861699999999995</c:v>
                </c:pt>
                <c:pt idx="12">
                  <c:v>0.58424200000000004</c:v>
                </c:pt>
                <c:pt idx="13">
                  <c:v>0.56861699999999993</c:v>
                </c:pt>
                <c:pt idx="14">
                  <c:v>0.55174199999999995</c:v>
                </c:pt>
                <c:pt idx="15">
                  <c:v>0.53361700000000001</c:v>
                </c:pt>
                <c:pt idx="16">
                  <c:v>0.51424199999999998</c:v>
                </c:pt>
                <c:pt idx="17">
                  <c:v>0.49361700000000003</c:v>
                </c:pt>
                <c:pt idx="18">
                  <c:v>0.47174199999999999</c:v>
                </c:pt>
                <c:pt idx="19">
                  <c:v>0.44861700000000004</c:v>
                </c:pt>
                <c:pt idx="20">
                  <c:v>0.42424200000000001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F-4523-8FA2-CB0D96FFEE3A}"/>
            </c:ext>
          </c:extLst>
        </c:ser>
        <c:ser>
          <c:idx val="6"/>
          <c:order val="3"/>
          <c:tx>
            <c:strRef>
              <c:f>Summary!$B$27</c:f>
              <c:strCache>
                <c:ptCount val="1"/>
                <c:pt idx="0">
                  <c:v>Cercignani (Kn=0,18)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Summary!$C$27:$W$27</c:f>
              <c:numCache>
                <c:formatCode>General</c:formatCode>
                <c:ptCount val="21"/>
                <c:pt idx="0">
                  <c:v>0.51961048716870961</c:v>
                </c:pt>
                <c:pt idx="1">
                  <c:v>0.51898548716870962</c:v>
                </c:pt>
                <c:pt idx="2">
                  <c:v>0.51711048716870966</c:v>
                </c:pt>
                <c:pt idx="3">
                  <c:v>0.51398548716870962</c:v>
                </c:pt>
                <c:pt idx="4">
                  <c:v>0.5096104871687096</c:v>
                </c:pt>
                <c:pt idx="5">
                  <c:v>0.50398548716870961</c:v>
                </c:pt>
                <c:pt idx="6">
                  <c:v>0.4971104871687097</c:v>
                </c:pt>
                <c:pt idx="7">
                  <c:v>0.48898548716870965</c:v>
                </c:pt>
                <c:pt idx="8">
                  <c:v>0.47961048716870963</c:v>
                </c:pt>
                <c:pt idx="9">
                  <c:v>0.46898548716870964</c:v>
                </c:pt>
                <c:pt idx="10">
                  <c:v>0.45711048716870967</c:v>
                </c:pt>
                <c:pt idx="11">
                  <c:v>0.44398548716870967</c:v>
                </c:pt>
                <c:pt idx="12">
                  <c:v>0.4296104871687097</c:v>
                </c:pt>
                <c:pt idx="13">
                  <c:v>0.41398548716870964</c:v>
                </c:pt>
                <c:pt idx="14">
                  <c:v>0.39711048716870967</c:v>
                </c:pt>
                <c:pt idx="15">
                  <c:v>0.37898548716870967</c:v>
                </c:pt>
                <c:pt idx="16">
                  <c:v>0.35961048716870964</c:v>
                </c:pt>
                <c:pt idx="17">
                  <c:v>0.33898548716870969</c:v>
                </c:pt>
                <c:pt idx="18">
                  <c:v>0.31711048716870965</c:v>
                </c:pt>
                <c:pt idx="19">
                  <c:v>0.29398548716870965</c:v>
                </c:pt>
                <c:pt idx="20">
                  <c:v>0.26961048716870967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CF-4523-8FA2-CB0D96FFEE3A}"/>
            </c:ext>
          </c:extLst>
        </c:ser>
        <c:ser>
          <c:idx val="4"/>
          <c:order val="4"/>
          <c:tx>
            <c:strRef>
              <c:f>Summary!$B$19</c:f>
              <c:strCache>
                <c:ptCount val="1"/>
                <c:pt idx="0">
                  <c:v>Cercignani (Kn=0,37)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Summary!$C$19:$W$19</c:f>
              <c:numCache>
                <c:formatCode>General</c:formatCode>
                <c:ptCount val="21"/>
                <c:pt idx="0">
                  <c:v>0.94137652140112182</c:v>
                </c:pt>
                <c:pt idx="1">
                  <c:v>0.94075152140112195</c:v>
                </c:pt>
                <c:pt idx="2">
                  <c:v>0.93887652140112188</c:v>
                </c:pt>
                <c:pt idx="3">
                  <c:v>0.93575152140112183</c:v>
                </c:pt>
                <c:pt idx="4">
                  <c:v>0.93137652140112182</c:v>
                </c:pt>
                <c:pt idx="5">
                  <c:v>0.92575152140112182</c:v>
                </c:pt>
                <c:pt idx="6">
                  <c:v>0.91887652140112186</c:v>
                </c:pt>
                <c:pt idx="7">
                  <c:v>0.91075152140112192</c:v>
                </c:pt>
                <c:pt idx="8">
                  <c:v>0.90137652140112179</c:v>
                </c:pt>
                <c:pt idx="9">
                  <c:v>0.8907515214011219</c:v>
                </c:pt>
                <c:pt idx="10">
                  <c:v>0.87887652140112182</c:v>
                </c:pt>
                <c:pt idx="11">
                  <c:v>0.86575152140112177</c:v>
                </c:pt>
                <c:pt idx="12">
                  <c:v>0.85137652140112197</c:v>
                </c:pt>
                <c:pt idx="13">
                  <c:v>0.83575152140112174</c:v>
                </c:pt>
                <c:pt idx="14">
                  <c:v>0.81887652140112177</c:v>
                </c:pt>
                <c:pt idx="15">
                  <c:v>0.80075152140112182</c:v>
                </c:pt>
                <c:pt idx="16">
                  <c:v>0.7813765214011219</c:v>
                </c:pt>
                <c:pt idx="17">
                  <c:v>0.7607515214011219</c:v>
                </c:pt>
                <c:pt idx="18">
                  <c:v>0.73887652140112192</c:v>
                </c:pt>
                <c:pt idx="19">
                  <c:v>0.71575152140112186</c:v>
                </c:pt>
                <c:pt idx="20">
                  <c:v>0.69137652140112182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F-4523-8FA2-CB0D96FFEE3A}"/>
            </c:ext>
          </c:extLst>
        </c:ser>
        <c:ser>
          <c:idx val="7"/>
          <c:order val="5"/>
          <c:tx>
            <c:strRef>
              <c:f>Summary!$B$28</c:f>
              <c:strCache>
                <c:ptCount val="1"/>
                <c:pt idx="0">
                  <c:v>EDMD LV (Kn=0,18)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Summary!$C$28:$V$28</c:f>
              <c:numCache>
                <c:formatCode>General</c:formatCode>
                <c:ptCount val="20"/>
                <c:pt idx="0">
                  <c:v>0.43783849872405173</c:v>
                </c:pt>
                <c:pt idx="1">
                  <c:v>0.43131113418113298</c:v>
                </c:pt>
                <c:pt idx="2">
                  <c:v>0.44987176116222605</c:v>
                </c:pt>
                <c:pt idx="3">
                  <c:v>0.48488339231666705</c:v>
                </c:pt>
                <c:pt idx="4">
                  <c:v>0.44542024700782146</c:v>
                </c:pt>
                <c:pt idx="5">
                  <c:v>0.46514060106762373</c:v>
                </c:pt>
                <c:pt idx="6">
                  <c:v>0.42736442654585471</c:v>
                </c:pt>
                <c:pt idx="7">
                  <c:v>0.45474904625347845</c:v>
                </c:pt>
                <c:pt idx="8">
                  <c:v>0.38655153354213923</c:v>
                </c:pt>
                <c:pt idx="9">
                  <c:v>0.42262731124984643</c:v>
                </c:pt>
                <c:pt idx="10">
                  <c:v>0.36579000577704607</c:v>
                </c:pt>
                <c:pt idx="11">
                  <c:v>0.34360012671765461</c:v>
                </c:pt>
                <c:pt idx="12">
                  <c:v>0.33460890479014155</c:v>
                </c:pt>
                <c:pt idx="13">
                  <c:v>0.33842694201364909</c:v>
                </c:pt>
                <c:pt idx="14">
                  <c:v>0.30446889111195785</c:v>
                </c:pt>
                <c:pt idx="15">
                  <c:v>0.30329230806243268</c:v>
                </c:pt>
                <c:pt idx="16">
                  <c:v>0.27411215163781161</c:v>
                </c:pt>
                <c:pt idx="17">
                  <c:v>0.2659298867146177</c:v>
                </c:pt>
                <c:pt idx="18">
                  <c:v>0.23411029779575332</c:v>
                </c:pt>
                <c:pt idx="19">
                  <c:v>0.20877251650842207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CF-4523-8FA2-CB0D96FFEE3A}"/>
            </c:ext>
          </c:extLst>
        </c:ser>
        <c:ser>
          <c:idx val="8"/>
          <c:order val="6"/>
          <c:tx>
            <c:strRef>
              <c:f>Summary!$B$29</c:f>
              <c:strCache>
                <c:ptCount val="1"/>
                <c:pt idx="0">
                  <c:v>EDMD HV (Kn=0,18)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Summary!$C$29:$V$29</c:f>
              <c:numCache>
                <c:formatCode>General</c:formatCode>
                <c:ptCount val="20"/>
                <c:pt idx="0">
                  <c:v>0.48579358403194101</c:v>
                </c:pt>
                <c:pt idx="1">
                  <c:v>0.47521377923367653</c:v>
                </c:pt>
                <c:pt idx="2">
                  <c:v>0.48289451076143269</c:v>
                </c:pt>
                <c:pt idx="3">
                  <c:v>0.4640067759087016</c:v>
                </c:pt>
                <c:pt idx="4">
                  <c:v>0.47257417384952899</c:v>
                </c:pt>
                <c:pt idx="5">
                  <c:v>0.47202112930536133</c:v>
                </c:pt>
                <c:pt idx="6">
                  <c:v>0.47052418019885145</c:v>
                </c:pt>
                <c:pt idx="7">
                  <c:v>0.43866274194953819</c:v>
                </c:pt>
                <c:pt idx="8">
                  <c:v>0.43672423150918904</c:v>
                </c:pt>
                <c:pt idx="9">
                  <c:v>0.41060996493295215</c:v>
                </c:pt>
                <c:pt idx="10">
                  <c:v>0.40500701748027051</c:v>
                </c:pt>
                <c:pt idx="11">
                  <c:v>0.40392110908938361</c:v>
                </c:pt>
                <c:pt idx="12">
                  <c:v>0.38385547412325488</c:v>
                </c:pt>
                <c:pt idx="13">
                  <c:v>0.35992824555900338</c:v>
                </c:pt>
                <c:pt idx="14">
                  <c:v>0.33329239295033247</c:v>
                </c:pt>
                <c:pt idx="15">
                  <c:v>0.31891792071693725</c:v>
                </c:pt>
                <c:pt idx="16">
                  <c:v>0.29135908851872044</c:v>
                </c:pt>
                <c:pt idx="17">
                  <c:v>0.25720552377562167</c:v>
                </c:pt>
                <c:pt idx="18">
                  <c:v>0.2233697717114532</c:v>
                </c:pt>
                <c:pt idx="19">
                  <c:v>0.18650424523090603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CF-4523-8FA2-CB0D96FFEE3A}"/>
            </c:ext>
          </c:extLst>
        </c:ser>
        <c:ser>
          <c:idx val="2"/>
          <c:order val="7"/>
          <c:tx>
            <c:strRef>
              <c:f>Summary!$B$20</c:f>
              <c:strCache>
                <c:ptCount val="1"/>
                <c:pt idx="0">
                  <c:v>EDMD LV (Kn=0,37)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Summary!$C$20:$V$20</c:f>
              <c:numCache>
                <c:formatCode>General</c:formatCode>
                <c:ptCount val="20"/>
                <c:pt idx="0">
                  <c:v>0.68176815650188027</c:v>
                </c:pt>
                <c:pt idx="1">
                  <c:v>0.74344151071347453</c:v>
                </c:pt>
                <c:pt idx="2">
                  <c:v>0.77965090084629352</c:v>
                </c:pt>
                <c:pt idx="3">
                  <c:v>0.74091074092559162</c:v>
                </c:pt>
                <c:pt idx="4">
                  <c:v>0.73353080918946101</c:v>
                </c:pt>
                <c:pt idx="5">
                  <c:v>0.73378014918843126</c:v>
                </c:pt>
                <c:pt idx="6">
                  <c:v>0.79259045906659342</c:v>
                </c:pt>
                <c:pt idx="7">
                  <c:v>0.7642394279494571</c:v>
                </c:pt>
                <c:pt idx="8">
                  <c:v>0.65490808028044278</c:v>
                </c:pt>
                <c:pt idx="9">
                  <c:v>0.67360208200481153</c:v>
                </c:pt>
                <c:pt idx="10">
                  <c:v>0.5992854719486771</c:v>
                </c:pt>
                <c:pt idx="11">
                  <c:v>0.63254537107996178</c:v>
                </c:pt>
                <c:pt idx="12">
                  <c:v>0.63994287373831094</c:v>
                </c:pt>
                <c:pt idx="13">
                  <c:v>0.62117817574104239</c:v>
                </c:pt>
                <c:pt idx="14">
                  <c:v>0.57256919673229256</c:v>
                </c:pt>
                <c:pt idx="15">
                  <c:v>0.58762274782904744</c:v>
                </c:pt>
                <c:pt idx="16">
                  <c:v>0.51752857942797059</c:v>
                </c:pt>
                <c:pt idx="17">
                  <c:v>0.48943214359883896</c:v>
                </c:pt>
                <c:pt idx="18">
                  <c:v>0.45124411909398043</c:v>
                </c:pt>
                <c:pt idx="19">
                  <c:v>0.38966830490349452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CF-4523-8FA2-CB0D96FFEE3A}"/>
            </c:ext>
          </c:extLst>
        </c:ser>
        <c:ser>
          <c:idx val="3"/>
          <c:order val="8"/>
          <c:tx>
            <c:strRef>
              <c:f>Summary!$B$21</c:f>
              <c:strCache>
                <c:ptCount val="1"/>
                <c:pt idx="0">
                  <c:v>EDMD HV (Kn=0,37)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Summary!$C$21:$V$21</c:f>
              <c:numCache>
                <c:formatCode>General</c:formatCode>
                <c:ptCount val="20"/>
                <c:pt idx="0">
                  <c:v>0.75598164098751508</c:v>
                </c:pt>
                <c:pt idx="1">
                  <c:v>0.75845064938211759</c:v>
                </c:pt>
                <c:pt idx="2">
                  <c:v>0.75507394829736552</c:v>
                </c:pt>
                <c:pt idx="3">
                  <c:v>0.74936397977937319</c:v>
                </c:pt>
                <c:pt idx="4">
                  <c:v>0.75477935942572638</c:v>
                </c:pt>
                <c:pt idx="5">
                  <c:v>0.73933023265428155</c:v>
                </c:pt>
                <c:pt idx="6">
                  <c:v>0.72574189323293681</c:v>
                </c:pt>
                <c:pt idx="7">
                  <c:v>0.69184838012955729</c:v>
                </c:pt>
                <c:pt idx="8">
                  <c:v>0.69412215683701051</c:v>
                </c:pt>
                <c:pt idx="9">
                  <c:v>0.66547548820055769</c:v>
                </c:pt>
                <c:pt idx="10">
                  <c:v>0.67866812846089919</c:v>
                </c:pt>
                <c:pt idx="11">
                  <c:v>0.65843306022339199</c:v>
                </c:pt>
                <c:pt idx="12">
                  <c:v>0.63929065529324092</c:v>
                </c:pt>
                <c:pt idx="13">
                  <c:v>0.58932006189934949</c:v>
                </c:pt>
                <c:pt idx="14">
                  <c:v>0.58118097926971246</c:v>
                </c:pt>
                <c:pt idx="15">
                  <c:v>0.5555783908410824</c:v>
                </c:pt>
                <c:pt idx="16">
                  <c:v>0.5374613779852474</c:v>
                </c:pt>
                <c:pt idx="17">
                  <c:v>0.49008600633068922</c:v>
                </c:pt>
                <c:pt idx="18">
                  <c:v>0.43796998118953318</c:v>
                </c:pt>
                <c:pt idx="19">
                  <c:v>0.38333425810698463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CF-4523-8FA2-CB0D96FF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19904"/>
        <c:axId val="723022624"/>
      </c:scatterChart>
      <c:valAx>
        <c:axId val="723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022624"/>
        <c:crosses val="autoZero"/>
        <c:crossBetween val="midCat"/>
        <c:majorUnit val="0.1"/>
      </c:valAx>
      <c:valAx>
        <c:axId val="723022624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019904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N-S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Summary!$C$16:$W$16</c:f>
              <c:numCache>
                <c:formatCode>General</c:formatCode>
                <c:ptCount val="21"/>
                <c:pt idx="0">
                  <c:v>0.25</c:v>
                </c:pt>
                <c:pt idx="1">
                  <c:v>0.24937500000000001</c:v>
                </c:pt>
                <c:pt idx="2">
                  <c:v>0.2475</c:v>
                </c:pt>
                <c:pt idx="3">
                  <c:v>0.24437500000000001</c:v>
                </c:pt>
                <c:pt idx="4">
                  <c:v>0.24</c:v>
                </c:pt>
                <c:pt idx="5">
                  <c:v>0.234375</c:v>
                </c:pt>
                <c:pt idx="6">
                  <c:v>0.22750000000000001</c:v>
                </c:pt>
                <c:pt idx="7">
                  <c:v>0.21937500000000001</c:v>
                </c:pt>
                <c:pt idx="8">
                  <c:v>0.21</c:v>
                </c:pt>
                <c:pt idx="9">
                  <c:v>0.199375</c:v>
                </c:pt>
                <c:pt idx="10">
                  <c:v>0.1875</c:v>
                </c:pt>
                <c:pt idx="11">
                  <c:v>0.174375</c:v>
                </c:pt>
                <c:pt idx="12">
                  <c:v>0.16</c:v>
                </c:pt>
                <c:pt idx="13">
                  <c:v>0.14437499999999998</c:v>
                </c:pt>
                <c:pt idx="14">
                  <c:v>0.1275</c:v>
                </c:pt>
                <c:pt idx="15">
                  <c:v>0.109375</c:v>
                </c:pt>
                <c:pt idx="16">
                  <c:v>8.9999999999999969E-2</c:v>
                </c:pt>
                <c:pt idx="17">
                  <c:v>6.937500000000002E-2</c:v>
                </c:pt>
                <c:pt idx="18">
                  <c:v>4.7499999999999987E-2</c:v>
                </c:pt>
                <c:pt idx="19">
                  <c:v>2.4375000000000008E-2</c:v>
                </c:pt>
                <c:pt idx="20">
                  <c:v>0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A-493F-BFD8-C02A205E5CBD}"/>
            </c:ext>
          </c:extLst>
        </c:ser>
        <c:ser>
          <c:idx val="5"/>
          <c:order val="1"/>
          <c:tx>
            <c:strRef>
              <c:f>Summary!$B$25</c:f>
              <c:strCache>
                <c:ptCount val="1"/>
                <c:pt idx="0">
                  <c:v>N-S + Slip (Kn=0,18)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Summary!$C$25:$W$25</c:f>
              <c:numCache>
                <c:formatCode>General</c:formatCode>
                <c:ptCount val="21"/>
                <c:pt idx="0">
                  <c:v>0.45638800000000002</c:v>
                </c:pt>
                <c:pt idx="1">
                  <c:v>0.45576300000000003</c:v>
                </c:pt>
                <c:pt idx="2">
                  <c:v>0.45388800000000001</c:v>
                </c:pt>
                <c:pt idx="3">
                  <c:v>0.45076300000000002</c:v>
                </c:pt>
                <c:pt idx="4">
                  <c:v>0.44638800000000001</c:v>
                </c:pt>
                <c:pt idx="5">
                  <c:v>0.44076300000000002</c:v>
                </c:pt>
                <c:pt idx="6">
                  <c:v>0.43388800000000005</c:v>
                </c:pt>
                <c:pt idx="7">
                  <c:v>0.425763</c:v>
                </c:pt>
                <c:pt idx="8">
                  <c:v>0.41638799999999998</c:v>
                </c:pt>
                <c:pt idx="9">
                  <c:v>0.40576299999999998</c:v>
                </c:pt>
                <c:pt idx="10">
                  <c:v>0.39388800000000002</c:v>
                </c:pt>
                <c:pt idx="11">
                  <c:v>0.38076300000000002</c:v>
                </c:pt>
                <c:pt idx="12">
                  <c:v>0.36638800000000005</c:v>
                </c:pt>
                <c:pt idx="13">
                  <c:v>0.35076299999999999</c:v>
                </c:pt>
                <c:pt idx="14">
                  <c:v>0.33388800000000002</c:v>
                </c:pt>
                <c:pt idx="15">
                  <c:v>0.31576300000000002</c:v>
                </c:pt>
                <c:pt idx="16">
                  <c:v>0.29638799999999998</c:v>
                </c:pt>
                <c:pt idx="17">
                  <c:v>0.27576300000000004</c:v>
                </c:pt>
                <c:pt idx="18">
                  <c:v>0.253888</c:v>
                </c:pt>
                <c:pt idx="19">
                  <c:v>0.23076300000000002</c:v>
                </c:pt>
                <c:pt idx="20">
                  <c:v>0.20638800000000002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A-493F-BFD8-C02A205E5CBD}"/>
            </c:ext>
          </c:extLst>
        </c:ser>
        <c:ser>
          <c:idx val="1"/>
          <c:order val="2"/>
          <c:tx>
            <c:strRef>
              <c:f>Summary!$B$17</c:f>
              <c:strCache>
                <c:ptCount val="1"/>
                <c:pt idx="0">
                  <c:v>N-S + Slip (Kn=0,37)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Summary!$C$17:$W$17</c:f>
              <c:numCache>
                <c:formatCode>General</c:formatCode>
                <c:ptCount val="21"/>
                <c:pt idx="0">
                  <c:v>0.67424200000000001</c:v>
                </c:pt>
                <c:pt idx="1">
                  <c:v>0.67361700000000002</c:v>
                </c:pt>
                <c:pt idx="2">
                  <c:v>0.67174200000000006</c:v>
                </c:pt>
                <c:pt idx="3">
                  <c:v>0.66861700000000002</c:v>
                </c:pt>
                <c:pt idx="4">
                  <c:v>0.664242</c:v>
                </c:pt>
                <c:pt idx="5">
                  <c:v>0.65861700000000001</c:v>
                </c:pt>
                <c:pt idx="6">
                  <c:v>0.65174200000000004</c:v>
                </c:pt>
                <c:pt idx="7">
                  <c:v>0.64361699999999999</c:v>
                </c:pt>
                <c:pt idx="8">
                  <c:v>0.63424199999999997</c:v>
                </c:pt>
                <c:pt idx="9">
                  <c:v>0.62361699999999998</c:v>
                </c:pt>
                <c:pt idx="10">
                  <c:v>0.61174200000000001</c:v>
                </c:pt>
                <c:pt idx="11">
                  <c:v>0.59861699999999995</c:v>
                </c:pt>
                <c:pt idx="12">
                  <c:v>0.58424200000000004</c:v>
                </c:pt>
                <c:pt idx="13">
                  <c:v>0.56861699999999993</c:v>
                </c:pt>
                <c:pt idx="14">
                  <c:v>0.55174199999999995</c:v>
                </c:pt>
                <c:pt idx="15">
                  <c:v>0.53361700000000001</c:v>
                </c:pt>
                <c:pt idx="16">
                  <c:v>0.51424199999999998</c:v>
                </c:pt>
                <c:pt idx="17">
                  <c:v>0.49361700000000003</c:v>
                </c:pt>
                <c:pt idx="18">
                  <c:v>0.47174199999999999</c:v>
                </c:pt>
                <c:pt idx="19">
                  <c:v>0.44861700000000004</c:v>
                </c:pt>
                <c:pt idx="20">
                  <c:v>0.42424200000000001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A-493F-BFD8-C02A205E5CBD}"/>
            </c:ext>
          </c:extLst>
        </c:ser>
        <c:ser>
          <c:idx val="6"/>
          <c:order val="3"/>
          <c:tx>
            <c:strRef>
              <c:f>Summary!$B$27</c:f>
              <c:strCache>
                <c:ptCount val="1"/>
                <c:pt idx="0">
                  <c:v>Cercignani (Kn=0,18)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Summary!$C$27:$W$27</c:f>
              <c:numCache>
                <c:formatCode>General</c:formatCode>
                <c:ptCount val="21"/>
                <c:pt idx="0">
                  <c:v>0.51961048716870961</c:v>
                </c:pt>
                <c:pt idx="1">
                  <c:v>0.51898548716870962</c:v>
                </c:pt>
                <c:pt idx="2">
                  <c:v>0.51711048716870966</c:v>
                </c:pt>
                <c:pt idx="3">
                  <c:v>0.51398548716870962</c:v>
                </c:pt>
                <c:pt idx="4">
                  <c:v>0.5096104871687096</c:v>
                </c:pt>
                <c:pt idx="5">
                  <c:v>0.50398548716870961</c:v>
                </c:pt>
                <c:pt idx="6">
                  <c:v>0.4971104871687097</c:v>
                </c:pt>
                <c:pt idx="7">
                  <c:v>0.48898548716870965</c:v>
                </c:pt>
                <c:pt idx="8">
                  <c:v>0.47961048716870963</c:v>
                </c:pt>
                <c:pt idx="9">
                  <c:v>0.46898548716870964</c:v>
                </c:pt>
                <c:pt idx="10">
                  <c:v>0.45711048716870967</c:v>
                </c:pt>
                <c:pt idx="11">
                  <c:v>0.44398548716870967</c:v>
                </c:pt>
                <c:pt idx="12">
                  <c:v>0.4296104871687097</c:v>
                </c:pt>
                <c:pt idx="13">
                  <c:v>0.41398548716870964</c:v>
                </c:pt>
                <c:pt idx="14">
                  <c:v>0.39711048716870967</c:v>
                </c:pt>
                <c:pt idx="15">
                  <c:v>0.37898548716870967</c:v>
                </c:pt>
                <c:pt idx="16">
                  <c:v>0.35961048716870964</c:v>
                </c:pt>
                <c:pt idx="17">
                  <c:v>0.33898548716870969</c:v>
                </c:pt>
                <c:pt idx="18">
                  <c:v>0.31711048716870965</c:v>
                </c:pt>
                <c:pt idx="19">
                  <c:v>0.29398548716870965</c:v>
                </c:pt>
                <c:pt idx="20">
                  <c:v>0.26961048716870967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A-493F-BFD8-C02A205E5CBD}"/>
            </c:ext>
          </c:extLst>
        </c:ser>
        <c:ser>
          <c:idx val="4"/>
          <c:order val="4"/>
          <c:tx>
            <c:strRef>
              <c:f>Summary!$B$19</c:f>
              <c:strCache>
                <c:ptCount val="1"/>
                <c:pt idx="0">
                  <c:v>Cercignani (Kn=0,37)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Summary!$C$19:$W$19</c:f>
              <c:numCache>
                <c:formatCode>General</c:formatCode>
                <c:ptCount val="21"/>
                <c:pt idx="0">
                  <c:v>0.94137652140112182</c:v>
                </c:pt>
                <c:pt idx="1">
                  <c:v>0.94075152140112195</c:v>
                </c:pt>
                <c:pt idx="2">
                  <c:v>0.93887652140112188</c:v>
                </c:pt>
                <c:pt idx="3">
                  <c:v>0.93575152140112183</c:v>
                </c:pt>
                <c:pt idx="4">
                  <c:v>0.93137652140112182</c:v>
                </c:pt>
                <c:pt idx="5">
                  <c:v>0.92575152140112182</c:v>
                </c:pt>
                <c:pt idx="6">
                  <c:v>0.91887652140112186</c:v>
                </c:pt>
                <c:pt idx="7">
                  <c:v>0.91075152140112192</c:v>
                </c:pt>
                <c:pt idx="8">
                  <c:v>0.90137652140112179</c:v>
                </c:pt>
                <c:pt idx="9">
                  <c:v>0.8907515214011219</c:v>
                </c:pt>
                <c:pt idx="10">
                  <c:v>0.87887652140112182</c:v>
                </c:pt>
                <c:pt idx="11">
                  <c:v>0.86575152140112177</c:v>
                </c:pt>
                <c:pt idx="12">
                  <c:v>0.85137652140112197</c:v>
                </c:pt>
                <c:pt idx="13">
                  <c:v>0.83575152140112174</c:v>
                </c:pt>
                <c:pt idx="14">
                  <c:v>0.81887652140112177</c:v>
                </c:pt>
                <c:pt idx="15">
                  <c:v>0.80075152140112182</c:v>
                </c:pt>
                <c:pt idx="16">
                  <c:v>0.7813765214011219</c:v>
                </c:pt>
                <c:pt idx="17">
                  <c:v>0.7607515214011219</c:v>
                </c:pt>
                <c:pt idx="18">
                  <c:v>0.73887652140112192</c:v>
                </c:pt>
                <c:pt idx="19">
                  <c:v>0.71575152140112186</c:v>
                </c:pt>
                <c:pt idx="20">
                  <c:v>0.69137652140112182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A-493F-BFD8-C02A205E5CBD}"/>
            </c:ext>
          </c:extLst>
        </c:ser>
        <c:ser>
          <c:idx val="8"/>
          <c:order val="5"/>
          <c:tx>
            <c:strRef>
              <c:f>Summary!$B$29</c:f>
              <c:strCache>
                <c:ptCount val="1"/>
                <c:pt idx="0">
                  <c:v>EDMD HV (Kn=0,18)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Summary!$C$29:$V$29</c:f>
              <c:numCache>
                <c:formatCode>General</c:formatCode>
                <c:ptCount val="20"/>
                <c:pt idx="0">
                  <c:v>0.48579358403194101</c:v>
                </c:pt>
                <c:pt idx="1">
                  <c:v>0.47521377923367653</c:v>
                </c:pt>
                <c:pt idx="2">
                  <c:v>0.48289451076143269</c:v>
                </c:pt>
                <c:pt idx="3">
                  <c:v>0.4640067759087016</c:v>
                </c:pt>
                <c:pt idx="4">
                  <c:v>0.47257417384952899</c:v>
                </c:pt>
                <c:pt idx="5">
                  <c:v>0.47202112930536133</c:v>
                </c:pt>
                <c:pt idx="6">
                  <c:v>0.47052418019885145</c:v>
                </c:pt>
                <c:pt idx="7">
                  <c:v>0.43866274194953819</c:v>
                </c:pt>
                <c:pt idx="8">
                  <c:v>0.43672423150918904</c:v>
                </c:pt>
                <c:pt idx="9">
                  <c:v>0.41060996493295215</c:v>
                </c:pt>
                <c:pt idx="10">
                  <c:v>0.40500701748027051</c:v>
                </c:pt>
                <c:pt idx="11">
                  <c:v>0.40392110908938361</c:v>
                </c:pt>
                <c:pt idx="12">
                  <c:v>0.38385547412325488</c:v>
                </c:pt>
                <c:pt idx="13">
                  <c:v>0.35992824555900338</c:v>
                </c:pt>
                <c:pt idx="14">
                  <c:v>0.33329239295033247</c:v>
                </c:pt>
                <c:pt idx="15">
                  <c:v>0.31891792071693725</c:v>
                </c:pt>
                <c:pt idx="16">
                  <c:v>0.29135908851872044</c:v>
                </c:pt>
                <c:pt idx="17">
                  <c:v>0.25720552377562167</c:v>
                </c:pt>
                <c:pt idx="18">
                  <c:v>0.2233697717114532</c:v>
                </c:pt>
                <c:pt idx="19">
                  <c:v>0.18650424523090603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3A-493F-BFD8-C02A205E5CBD}"/>
            </c:ext>
          </c:extLst>
        </c:ser>
        <c:ser>
          <c:idx val="3"/>
          <c:order val="6"/>
          <c:tx>
            <c:strRef>
              <c:f>Summary!$B$21</c:f>
              <c:strCache>
                <c:ptCount val="1"/>
                <c:pt idx="0">
                  <c:v>EDMD HV (Kn=0,37)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Summary!$C$21:$V$21</c:f>
              <c:numCache>
                <c:formatCode>General</c:formatCode>
                <c:ptCount val="20"/>
                <c:pt idx="0">
                  <c:v>0.75598164098751508</c:v>
                </c:pt>
                <c:pt idx="1">
                  <c:v>0.75845064938211759</c:v>
                </c:pt>
                <c:pt idx="2">
                  <c:v>0.75507394829736552</c:v>
                </c:pt>
                <c:pt idx="3">
                  <c:v>0.74936397977937319</c:v>
                </c:pt>
                <c:pt idx="4">
                  <c:v>0.75477935942572638</c:v>
                </c:pt>
                <c:pt idx="5">
                  <c:v>0.73933023265428155</c:v>
                </c:pt>
                <c:pt idx="6">
                  <c:v>0.72574189323293681</c:v>
                </c:pt>
                <c:pt idx="7">
                  <c:v>0.69184838012955729</c:v>
                </c:pt>
                <c:pt idx="8">
                  <c:v>0.69412215683701051</c:v>
                </c:pt>
                <c:pt idx="9">
                  <c:v>0.66547548820055769</c:v>
                </c:pt>
                <c:pt idx="10">
                  <c:v>0.67866812846089919</c:v>
                </c:pt>
                <c:pt idx="11">
                  <c:v>0.65843306022339199</c:v>
                </c:pt>
                <c:pt idx="12">
                  <c:v>0.63929065529324092</c:v>
                </c:pt>
                <c:pt idx="13">
                  <c:v>0.58932006189934949</c:v>
                </c:pt>
                <c:pt idx="14">
                  <c:v>0.58118097926971246</c:v>
                </c:pt>
                <c:pt idx="15">
                  <c:v>0.5555783908410824</c:v>
                </c:pt>
                <c:pt idx="16">
                  <c:v>0.5374613779852474</c:v>
                </c:pt>
                <c:pt idx="17">
                  <c:v>0.49008600633068922</c:v>
                </c:pt>
                <c:pt idx="18">
                  <c:v>0.43796998118953318</c:v>
                </c:pt>
                <c:pt idx="19">
                  <c:v>0.38333425810698463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3A-493F-BFD8-C02A205E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20992"/>
        <c:axId val="723016640"/>
      </c:scatterChart>
      <c:valAx>
        <c:axId val="723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016640"/>
        <c:crosses val="autoZero"/>
        <c:crossBetween val="midCat"/>
        <c:majorUnit val="0.1"/>
      </c:valAx>
      <c:valAx>
        <c:axId val="723016640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020992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Summary!$H$391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Summary!$I$392:$I$401</c:f>
              <c:numCache>
                <c:formatCode>General</c:formatCode>
                <c:ptCount val="10"/>
                <c:pt idx="0">
                  <c:v>0.48582371615275832</c:v>
                </c:pt>
                <c:pt idx="1">
                  <c:v>0.64776495487034436</c:v>
                </c:pt>
                <c:pt idx="2">
                  <c:v>0.8097061935879305</c:v>
                </c:pt>
                <c:pt idx="3">
                  <c:v>0.97164743230551665</c:v>
                </c:pt>
                <c:pt idx="4">
                  <c:v>1.1335886710231029</c:v>
                </c:pt>
                <c:pt idx="5">
                  <c:v>1.2955299097406887</c:v>
                </c:pt>
                <c:pt idx="6">
                  <c:v>1.457471148458275</c:v>
                </c:pt>
                <c:pt idx="7">
                  <c:v>1.619412387175861</c:v>
                </c:pt>
                <c:pt idx="8">
                  <c:v>1.7813536258934473</c:v>
                </c:pt>
                <c:pt idx="9">
                  <c:v>1.9432948646110333</c:v>
                </c:pt>
              </c:numCache>
            </c:numRef>
          </c:xVal>
          <c:yVal>
            <c:numRef>
              <c:f>Summary!$H$392:$H$401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2.3E-2</c:v>
                </c:pt>
                <c:pt idx="2">
                  <c:v>2.5000000000000001E-2</c:v>
                </c:pt>
                <c:pt idx="3">
                  <c:v>2.5999999999999999E-2</c:v>
                </c:pt>
                <c:pt idx="4">
                  <c:v>2.1999999999999999E-2</c:v>
                </c:pt>
                <c:pt idx="5">
                  <c:v>1.9E-2</c:v>
                </c:pt>
                <c:pt idx="6">
                  <c:v>1.7000000000000001E-2</c:v>
                </c:pt>
                <c:pt idx="7">
                  <c:v>1.498E-2</c:v>
                </c:pt>
                <c:pt idx="8">
                  <c:v>1.47E-2</c:v>
                </c:pt>
                <c:pt idx="9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D-4DB1-986D-A1F5B397687E}"/>
            </c:ext>
          </c:extLst>
        </c:ser>
        <c:ser>
          <c:idx val="1"/>
          <c:order val="1"/>
          <c:tx>
            <c:strRef>
              <c:f>Summary!$N$391</c:f>
              <c:strCache>
                <c:ptCount val="1"/>
                <c:pt idx="0">
                  <c:v>regular6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Summary!$I$392:$I$401</c:f>
              <c:numCache>
                <c:formatCode>General</c:formatCode>
                <c:ptCount val="10"/>
                <c:pt idx="0">
                  <c:v>0.48582371615275832</c:v>
                </c:pt>
                <c:pt idx="1">
                  <c:v>0.64776495487034436</c:v>
                </c:pt>
                <c:pt idx="2">
                  <c:v>0.8097061935879305</c:v>
                </c:pt>
                <c:pt idx="3">
                  <c:v>0.97164743230551665</c:v>
                </c:pt>
                <c:pt idx="4">
                  <c:v>1.1335886710231029</c:v>
                </c:pt>
                <c:pt idx="5">
                  <c:v>1.2955299097406887</c:v>
                </c:pt>
                <c:pt idx="6">
                  <c:v>1.457471148458275</c:v>
                </c:pt>
                <c:pt idx="7">
                  <c:v>1.619412387175861</c:v>
                </c:pt>
                <c:pt idx="8">
                  <c:v>1.7813536258934473</c:v>
                </c:pt>
                <c:pt idx="9">
                  <c:v>1.9432948646110333</c:v>
                </c:pt>
              </c:numCache>
            </c:numRef>
          </c:xVal>
          <c:yVal>
            <c:numRef>
              <c:f>Summary!$N$392:$N$401</c:f>
              <c:numCache>
                <c:formatCode>General</c:formatCode>
                <c:ptCount val="10"/>
                <c:pt idx="0">
                  <c:v>1.8383333333333668E-2</c:v>
                </c:pt>
                <c:pt idx="1">
                  <c:v>2.2550000000000334E-2</c:v>
                </c:pt>
                <c:pt idx="2">
                  <c:v>2.4233333333333273E-2</c:v>
                </c:pt>
                <c:pt idx="3">
                  <c:v>2.2633333333333214E-2</c:v>
                </c:pt>
                <c:pt idx="4">
                  <c:v>2.3249999999999698E-2</c:v>
                </c:pt>
                <c:pt idx="5">
                  <c:v>1.8066666666666908E-2</c:v>
                </c:pt>
                <c:pt idx="6">
                  <c:v>1.681666666666691E-2</c:v>
                </c:pt>
                <c:pt idx="7">
                  <c:v>1.6099999999999757E-2</c:v>
                </c:pt>
                <c:pt idx="8">
                  <c:v>1.4033333333333455E-2</c:v>
                </c:pt>
                <c:pt idx="9">
                  <c:v>1.080000000000003E-2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D-4DB1-986D-A1F5B397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13920"/>
        <c:axId val="723012288"/>
      </c:scatterChart>
      <c:valAx>
        <c:axId val="7230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12288"/>
        <c:crosses val="autoZero"/>
        <c:crossBetween val="midCat"/>
      </c:valAx>
      <c:valAx>
        <c:axId val="7230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Summary!$N$404</c:f>
              <c:strCache>
                <c:ptCount val="1"/>
                <c:pt idx="0">
                  <c:v>dt=5*10^-5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Summary!$N$405:$N$416</c:f>
              <c:numCache>
                <c:formatCode>General</c:formatCode>
                <c:ptCount val="12"/>
                <c:pt idx="0">
                  <c:v>1.1100000000000009E-2</c:v>
                </c:pt>
                <c:pt idx="1">
                  <c:v>1.3372222222222313E-2</c:v>
                </c:pt>
                <c:pt idx="2">
                  <c:v>1.6933333333333345E-2</c:v>
                </c:pt>
                <c:pt idx="3">
                  <c:v>2.2422222222222291E-2</c:v>
                </c:pt>
                <c:pt idx="4">
                  <c:v>2.4244444444444371E-2</c:v>
                </c:pt>
                <c:pt idx="5">
                  <c:v>2.562777777777784E-2</c:v>
                </c:pt>
                <c:pt idx="6">
                  <c:v>2.0816666666666553E-2</c:v>
                </c:pt>
                <c:pt idx="7">
                  <c:v>1.8061111111111233E-2</c:v>
                </c:pt>
                <c:pt idx="8">
                  <c:v>1.6066666666666708E-2</c:v>
                </c:pt>
                <c:pt idx="9">
                  <c:v>1.3988888888888797E-2</c:v>
                </c:pt>
                <c:pt idx="10">
                  <c:v>1.2055555555555455E-2</c:v>
                </c:pt>
                <c:pt idx="11">
                  <c:v>1.020000000000007E-2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A-41F1-A5B1-A3BA3A920766}"/>
            </c:ext>
          </c:extLst>
        </c:ser>
        <c:ser>
          <c:idx val="3"/>
          <c:order val="1"/>
          <c:tx>
            <c:strRef>
              <c:f>Summary!$T$404</c:f>
              <c:strCache>
                <c:ptCount val="1"/>
                <c:pt idx="0">
                  <c:v>dt=1*10^-6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Summary!$T$405:$T$416</c:f>
              <c:numCache>
                <c:formatCode>General</c:formatCode>
                <c:ptCount val="12"/>
                <c:pt idx="0">
                  <c:v>4.1666666666666664E-2</c:v>
                </c:pt>
                <c:pt idx="1">
                  <c:v>4.6522222222222104E-2</c:v>
                </c:pt>
                <c:pt idx="2">
                  <c:v>5.3333333333333337E-2</c:v>
                </c:pt>
                <c:pt idx="3">
                  <c:v>4.7622222222222114E-2</c:v>
                </c:pt>
                <c:pt idx="4">
                  <c:v>3.8855555555555581E-2</c:v>
                </c:pt>
                <c:pt idx="5">
                  <c:v>3.111111111111111E-2</c:v>
                </c:pt>
                <c:pt idx="6">
                  <c:v>2.7222222222222221E-2</c:v>
                </c:pt>
                <c:pt idx="7">
                  <c:v>0.02</c:v>
                </c:pt>
                <c:pt idx="8">
                  <c:v>1.8888888888888889E-2</c:v>
                </c:pt>
                <c:pt idx="9">
                  <c:v>1.4444444444444446E-2</c:v>
                </c:pt>
                <c:pt idx="10">
                  <c:v>1.2222222222222221E-2</c:v>
                </c:pt>
                <c:pt idx="11">
                  <c:v>1.111111111111111E-2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A-41F1-A5B1-A3BA3A920766}"/>
            </c:ext>
          </c:extLst>
        </c:ser>
        <c:ser>
          <c:idx val="0"/>
          <c:order val="2"/>
          <c:tx>
            <c:strRef>
              <c:f>Summary!$P$404</c:f>
              <c:strCache>
                <c:ptCount val="1"/>
                <c:pt idx="0">
                  <c:v>dt=5*10^-7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Summary!$P$405:$P$416</c:f>
              <c:numCache>
                <c:formatCode>General</c:formatCode>
                <c:ptCount val="12"/>
                <c:pt idx="0">
                  <c:v>4.3333333333333335E-2</c:v>
                </c:pt>
                <c:pt idx="1">
                  <c:v>4.9444444444444444E-2</c:v>
                </c:pt>
                <c:pt idx="2">
                  <c:v>5.5E-2</c:v>
                </c:pt>
                <c:pt idx="3">
                  <c:v>4.777777777777778E-2</c:v>
                </c:pt>
                <c:pt idx="4">
                  <c:v>4.0555555555555553E-2</c:v>
                </c:pt>
                <c:pt idx="5">
                  <c:v>3.111111111111111E-2</c:v>
                </c:pt>
                <c:pt idx="6">
                  <c:v>2.6111111111111109E-2</c:v>
                </c:pt>
                <c:pt idx="7">
                  <c:v>2.222222222222222E-2</c:v>
                </c:pt>
                <c:pt idx="8">
                  <c:v>1.7222222222222226E-2</c:v>
                </c:pt>
                <c:pt idx="9">
                  <c:v>1.4444444444444446E-2</c:v>
                </c:pt>
                <c:pt idx="10">
                  <c:v>1.2222222222222221E-2</c:v>
                </c:pt>
                <c:pt idx="11">
                  <c:v>1.111111111111111E-2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A-41F1-A5B1-A3BA3A920766}"/>
            </c:ext>
          </c:extLst>
        </c:ser>
        <c:ser>
          <c:idx val="2"/>
          <c:order val="3"/>
          <c:tx>
            <c:strRef>
              <c:f>Summary!$R$404</c:f>
              <c:strCache>
                <c:ptCount val="1"/>
                <c:pt idx="0">
                  <c:v>dt=1*10^-7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Summary!$R$405:$R$416</c:f>
              <c:numCache>
                <c:formatCode>General</c:formatCode>
                <c:ptCount val="12"/>
                <c:pt idx="0">
                  <c:v>4.6666666666666662E-2</c:v>
                </c:pt>
                <c:pt idx="1">
                  <c:v>5.4866666666666793E-2</c:v>
                </c:pt>
                <c:pt idx="2">
                  <c:v>0.05</c:v>
                </c:pt>
                <c:pt idx="3">
                  <c:v>4.5555555555555557E-2</c:v>
                </c:pt>
                <c:pt idx="4">
                  <c:v>3.7627777777777788E-2</c:v>
                </c:pt>
                <c:pt idx="5">
                  <c:v>2.8888888888888891E-2</c:v>
                </c:pt>
                <c:pt idx="6">
                  <c:v>2.4444444444444442E-2</c:v>
                </c:pt>
                <c:pt idx="7">
                  <c:v>0.02</c:v>
                </c:pt>
                <c:pt idx="8">
                  <c:v>1.6972222222222322E-2</c:v>
                </c:pt>
                <c:pt idx="9">
                  <c:v>1.4444444444444446E-2</c:v>
                </c:pt>
                <c:pt idx="10">
                  <c:v>1.2222222222222221E-2</c:v>
                </c:pt>
                <c:pt idx="11">
                  <c:v>1.10000000000001E-2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A-41F1-A5B1-A3BA3A920766}"/>
            </c:ext>
          </c:extLst>
        </c:ser>
        <c:ser>
          <c:idx val="4"/>
          <c:order val="4"/>
          <c:tx>
            <c:strRef>
              <c:f>Summary!$X$404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Summary!$X$405:$X$416</c:f>
              <c:numCache>
                <c:formatCode>General</c:formatCode>
                <c:ptCount val="12"/>
                <c:pt idx="0">
                  <c:v>5.0761111111111049E-2</c:v>
                </c:pt>
                <c:pt idx="1">
                  <c:v>5.2166666666666466E-2</c:v>
                </c:pt>
                <c:pt idx="2">
                  <c:v>5.9299999999999881E-2</c:v>
                </c:pt>
                <c:pt idx="3">
                  <c:v>4.8672222222222297E-2</c:v>
                </c:pt>
                <c:pt idx="4">
                  <c:v>3.9916666666666614E-2</c:v>
                </c:pt>
                <c:pt idx="5">
                  <c:v>3.1049999999999928E-2</c:v>
                </c:pt>
                <c:pt idx="6">
                  <c:v>2.6116666666666788E-2</c:v>
                </c:pt>
                <c:pt idx="7">
                  <c:v>2.1266666666666777E-2</c:v>
                </c:pt>
                <c:pt idx="8">
                  <c:v>1.8005555555555476E-2</c:v>
                </c:pt>
                <c:pt idx="9">
                  <c:v>1.6738888888888952E-2</c:v>
                </c:pt>
                <c:pt idx="10">
                  <c:v>1.2955555555555645E-2</c:v>
                </c:pt>
                <c:pt idx="11">
                  <c:v>1.080000000000003E-2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A-41F1-A5B1-A3BA3A92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9568"/>
        <c:axId val="723023168"/>
      </c:scatterChart>
      <c:valAx>
        <c:axId val="7230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23168"/>
        <c:crosses val="autoZero"/>
        <c:crossBetween val="midCat"/>
      </c:valAx>
      <c:valAx>
        <c:axId val="7230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Summary!$N$442</c:f>
              <c:strCache>
                <c:ptCount val="1"/>
                <c:pt idx="0">
                  <c:v>dt=5*10^-5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Summary!$I$443:$I$454</c:f>
              <c:numCache>
                <c:formatCode>General</c:formatCode>
                <c:ptCount val="12"/>
                <c:pt idx="0">
                  <c:v>0.47351905455838489</c:v>
                </c:pt>
                <c:pt idx="1">
                  <c:v>0.56822286547006196</c:v>
                </c:pt>
                <c:pt idx="2">
                  <c:v>0.66292667638173897</c:v>
                </c:pt>
                <c:pt idx="3">
                  <c:v>0.75763048729341598</c:v>
                </c:pt>
                <c:pt idx="4">
                  <c:v>0.85233429820509299</c:v>
                </c:pt>
                <c:pt idx="5">
                  <c:v>0.94703810911676978</c:v>
                </c:pt>
                <c:pt idx="6">
                  <c:v>1.041741920028447</c:v>
                </c:pt>
                <c:pt idx="7">
                  <c:v>1.1364457309401239</c:v>
                </c:pt>
                <c:pt idx="8">
                  <c:v>1.3258533527634779</c:v>
                </c:pt>
                <c:pt idx="9">
                  <c:v>1.515260974586832</c:v>
                </c:pt>
                <c:pt idx="10">
                  <c:v>1.6099647854985089</c:v>
                </c:pt>
                <c:pt idx="11">
                  <c:v>1.8940762182335396</c:v>
                </c:pt>
              </c:numCache>
            </c:numRef>
          </c:xVal>
          <c:yVal>
            <c:numRef>
              <c:f>Summary!$N$443:$N$454</c:f>
              <c:numCache>
                <c:formatCode>General</c:formatCode>
                <c:ptCount val="12"/>
                <c:pt idx="0">
                  <c:v>0.3988888888888889</c:v>
                </c:pt>
                <c:pt idx="1">
                  <c:v>0.41277777777777774</c:v>
                </c:pt>
                <c:pt idx="2">
                  <c:v>0.4022222222222222</c:v>
                </c:pt>
                <c:pt idx="3">
                  <c:v>0.36944444444444446</c:v>
                </c:pt>
                <c:pt idx="4">
                  <c:v>0.35166666666666668</c:v>
                </c:pt>
                <c:pt idx="5">
                  <c:v>0.31333333333333335</c:v>
                </c:pt>
                <c:pt idx="6">
                  <c:v>0.28055555555555556</c:v>
                </c:pt>
                <c:pt idx="7">
                  <c:v>0.25222222222222224</c:v>
                </c:pt>
                <c:pt idx="8">
                  <c:v>0.21777777777777776</c:v>
                </c:pt>
                <c:pt idx="9">
                  <c:v>0.17888888888888888</c:v>
                </c:pt>
                <c:pt idx="10">
                  <c:v>0.16777777777777778</c:v>
                </c:pt>
                <c:pt idx="1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8-4066-845D-2F843FBCF328}"/>
            </c:ext>
          </c:extLst>
        </c:ser>
        <c:ser>
          <c:idx val="0"/>
          <c:order val="1"/>
          <c:tx>
            <c:strRef>
              <c:f>Summary!$P$442</c:f>
              <c:strCache>
                <c:ptCount val="1"/>
                <c:pt idx="0">
                  <c:v>dt=5*10^-7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Summary!$I$443:$I$454</c:f>
              <c:numCache>
                <c:formatCode>General</c:formatCode>
                <c:ptCount val="12"/>
                <c:pt idx="0">
                  <c:v>0.47351905455838489</c:v>
                </c:pt>
                <c:pt idx="1">
                  <c:v>0.56822286547006196</c:v>
                </c:pt>
                <c:pt idx="2">
                  <c:v>0.66292667638173897</c:v>
                </c:pt>
                <c:pt idx="3">
                  <c:v>0.75763048729341598</c:v>
                </c:pt>
                <c:pt idx="4">
                  <c:v>0.85233429820509299</c:v>
                </c:pt>
                <c:pt idx="5">
                  <c:v>0.94703810911676978</c:v>
                </c:pt>
                <c:pt idx="6">
                  <c:v>1.041741920028447</c:v>
                </c:pt>
                <c:pt idx="7">
                  <c:v>1.1364457309401239</c:v>
                </c:pt>
                <c:pt idx="8">
                  <c:v>1.3258533527634779</c:v>
                </c:pt>
                <c:pt idx="9">
                  <c:v>1.515260974586832</c:v>
                </c:pt>
                <c:pt idx="10">
                  <c:v>1.6099647854985089</c:v>
                </c:pt>
                <c:pt idx="11">
                  <c:v>1.8940762182335396</c:v>
                </c:pt>
              </c:numCache>
            </c:numRef>
          </c:xVal>
          <c:yVal>
            <c:numRef>
              <c:f>Summary!$P$443:$P$454</c:f>
              <c:numCache>
                <c:formatCode>General</c:formatCode>
                <c:ptCount val="12"/>
                <c:pt idx="0">
                  <c:v>0.50722222222222224</c:v>
                </c:pt>
                <c:pt idx="1">
                  <c:v>0.48722222222222222</c:v>
                </c:pt>
                <c:pt idx="2">
                  <c:v>0.45555555555555555</c:v>
                </c:pt>
                <c:pt idx="3">
                  <c:v>0.40611111111111114</c:v>
                </c:pt>
                <c:pt idx="4">
                  <c:v>0.36888888888888888</c:v>
                </c:pt>
                <c:pt idx="5">
                  <c:v>0.3338888888888889</c:v>
                </c:pt>
                <c:pt idx="6">
                  <c:v>0.29444444444444445</c:v>
                </c:pt>
                <c:pt idx="7">
                  <c:v>0.26500000000000001</c:v>
                </c:pt>
                <c:pt idx="8">
                  <c:v>0.22111111111111112</c:v>
                </c:pt>
                <c:pt idx="9">
                  <c:v>0.18166666666666667</c:v>
                </c:pt>
                <c:pt idx="10">
                  <c:v>0.16999999999999998</c:v>
                </c:pt>
                <c:pt idx="1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8-4066-845D-2F843FBCF328}"/>
            </c:ext>
          </c:extLst>
        </c:ser>
        <c:ser>
          <c:idx val="2"/>
          <c:order val="2"/>
          <c:tx>
            <c:strRef>
              <c:f>Summary!$R$442</c:f>
              <c:strCache>
                <c:ptCount val="1"/>
                <c:pt idx="0">
                  <c:v>dt=1*10^-7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Summary!$I$443:$I$454</c:f>
              <c:numCache>
                <c:formatCode>General</c:formatCode>
                <c:ptCount val="12"/>
                <c:pt idx="0">
                  <c:v>0.47351905455838489</c:v>
                </c:pt>
                <c:pt idx="1">
                  <c:v>0.56822286547006196</c:v>
                </c:pt>
                <c:pt idx="2">
                  <c:v>0.66292667638173897</c:v>
                </c:pt>
                <c:pt idx="3">
                  <c:v>0.75763048729341598</c:v>
                </c:pt>
                <c:pt idx="4">
                  <c:v>0.85233429820509299</c:v>
                </c:pt>
                <c:pt idx="5">
                  <c:v>0.94703810911676978</c:v>
                </c:pt>
                <c:pt idx="6">
                  <c:v>1.041741920028447</c:v>
                </c:pt>
                <c:pt idx="7">
                  <c:v>1.1364457309401239</c:v>
                </c:pt>
                <c:pt idx="8">
                  <c:v>1.3258533527634779</c:v>
                </c:pt>
                <c:pt idx="9">
                  <c:v>1.515260974586832</c:v>
                </c:pt>
                <c:pt idx="10">
                  <c:v>1.6099647854985089</c:v>
                </c:pt>
                <c:pt idx="11">
                  <c:v>1.8940762182335396</c:v>
                </c:pt>
              </c:numCache>
            </c:numRef>
          </c:xVal>
          <c:yVal>
            <c:numRef>
              <c:f>Summary!$R$443:$R$454</c:f>
              <c:numCache>
                <c:formatCode>General</c:formatCode>
                <c:ptCount val="12"/>
                <c:pt idx="0">
                  <c:v>0.46333333333333332</c:v>
                </c:pt>
                <c:pt idx="1">
                  <c:v>0.45054444444444625</c:v>
                </c:pt>
                <c:pt idx="2">
                  <c:v>0.42277777777777781</c:v>
                </c:pt>
                <c:pt idx="3">
                  <c:v>0.38111111111111112</c:v>
                </c:pt>
                <c:pt idx="4">
                  <c:v>0.3511111111111111</c:v>
                </c:pt>
                <c:pt idx="5">
                  <c:v>0.31777777777777777</c:v>
                </c:pt>
                <c:pt idx="6">
                  <c:v>0.28215555555555411</c:v>
                </c:pt>
                <c:pt idx="7">
                  <c:v>0.25388888888888889</c:v>
                </c:pt>
                <c:pt idx="8">
                  <c:v>0.21333333333333335</c:v>
                </c:pt>
                <c:pt idx="9">
                  <c:v>0.17722222222222223</c:v>
                </c:pt>
                <c:pt idx="10">
                  <c:v>0.16444444444444445</c:v>
                </c:pt>
                <c:pt idx="11">
                  <c:v>0.12981666666666569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8-4066-845D-2F843FBCF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15552"/>
        <c:axId val="723012832"/>
      </c:scatterChart>
      <c:valAx>
        <c:axId val="7230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12832"/>
        <c:crosses val="autoZero"/>
        <c:crossBetween val="midCat"/>
      </c:valAx>
      <c:valAx>
        <c:axId val="7230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Summary!$N$404</c:f>
              <c:strCache>
                <c:ptCount val="1"/>
                <c:pt idx="0">
                  <c:v>dt=5*10^-5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Summary!$N$405:$N$416</c:f>
              <c:numCache>
                <c:formatCode>General</c:formatCode>
                <c:ptCount val="12"/>
                <c:pt idx="0">
                  <c:v>1.1100000000000009E-2</c:v>
                </c:pt>
                <c:pt idx="1">
                  <c:v>1.3372222222222313E-2</c:v>
                </c:pt>
                <c:pt idx="2">
                  <c:v>1.6933333333333345E-2</c:v>
                </c:pt>
                <c:pt idx="3">
                  <c:v>2.2422222222222291E-2</c:v>
                </c:pt>
                <c:pt idx="4">
                  <c:v>2.4244444444444371E-2</c:v>
                </c:pt>
                <c:pt idx="5">
                  <c:v>2.562777777777784E-2</c:v>
                </c:pt>
                <c:pt idx="6">
                  <c:v>2.0816666666666553E-2</c:v>
                </c:pt>
                <c:pt idx="7">
                  <c:v>1.8061111111111233E-2</c:v>
                </c:pt>
                <c:pt idx="8">
                  <c:v>1.6066666666666708E-2</c:v>
                </c:pt>
                <c:pt idx="9">
                  <c:v>1.3988888888888797E-2</c:v>
                </c:pt>
                <c:pt idx="10">
                  <c:v>1.2055555555555455E-2</c:v>
                </c:pt>
                <c:pt idx="11">
                  <c:v>1.020000000000007E-2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1-4E24-8D91-BEF2100311F9}"/>
            </c:ext>
          </c:extLst>
        </c:ser>
        <c:ser>
          <c:idx val="2"/>
          <c:order val="1"/>
          <c:tx>
            <c:strRef>
              <c:f>Summary!$R$404</c:f>
              <c:strCache>
                <c:ptCount val="1"/>
                <c:pt idx="0">
                  <c:v>dt=1*10^-7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Summary!$R$405:$R$416</c:f>
              <c:numCache>
                <c:formatCode>General</c:formatCode>
                <c:ptCount val="12"/>
                <c:pt idx="0">
                  <c:v>4.6666666666666662E-2</c:v>
                </c:pt>
                <c:pt idx="1">
                  <c:v>5.4866666666666793E-2</c:v>
                </c:pt>
                <c:pt idx="2">
                  <c:v>0.05</c:v>
                </c:pt>
                <c:pt idx="3">
                  <c:v>4.5555555555555557E-2</c:v>
                </c:pt>
                <c:pt idx="4">
                  <c:v>3.7627777777777788E-2</c:v>
                </c:pt>
                <c:pt idx="5">
                  <c:v>2.8888888888888891E-2</c:v>
                </c:pt>
                <c:pt idx="6">
                  <c:v>2.4444444444444442E-2</c:v>
                </c:pt>
                <c:pt idx="7">
                  <c:v>0.02</c:v>
                </c:pt>
                <c:pt idx="8">
                  <c:v>1.6972222222222322E-2</c:v>
                </c:pt>
                <c:pt idx="9">
                  <c:v>1.4444444444444446E-2</c:v>
                </c:pt>
                <c:pt idx="10">
                  <c:v>1.2222222222222221E-2</c:v>
                </c:pt>
                <c:pt idx="11">
                  <c:v>1.10000000000001E-2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1-4E24-8D91-BEF2100311F9}"/>
            </c:ext>
          </c:extLst>
        </c:ser>
        <c:ser>
          <c:idx val="4"/>
          <c:order val="2"/>
          <c:tx>
            <c:strRef>
              <c:f>Summary!$X$404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Summary!$I$405:$I$416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Summary!$X$405:$X$416</c:f>
              <c:numCache>
                <c:formatCode>General</c:formatCode>
                <c:ptCount val="12"/>
                <c:pt idx="0">
                  <c:v>5.0761111111111049E-2</c:v>
                </c:pt>
                <c:pt idx="1">
                  <c:v>5.2166666666666466E-2</c:v>
                </c:pt>
                <c:pt idx="2">
                  <c:v>5.9299999999999881E-2</c:v>
                </c:pt>
                <c:pt idx="3">
                  <c:v>4.8672222222222297E-2</c:v>
                </c:pt>
                <c:pt idx="4">
                  <c:v>3.9916666666666614E-2</c:v>
                </c:pt>
                <c:pt idx="5">
                  <c:v>3.1049999999999928E-2</c:v>
                </c:pt>
                <c:pt idx="6">
                  <c:v>2.6116666666666788E-2</c:v>
                </c:pt>
                <c:pt idx="7">
                  <c:v>2.1266666666666777E-2</c:v>
                </c:pt>
                <c:pt idx="8">
                  <c:v>1.8005555555555476E-2</c:v>
                </c:pt>
                <c:pt idx="9">
                  <c:v>1.6738888888888952E-2</c:v>
                </c:pt>
                <c:pt idx="10">
                  <c:v>1.2955555555555645E-2</c:v>
                </c:pt>
                <c:pt idx="11">
                  <c:v>1.080000000000003E-2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1-4E24-8D91-BEF21003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17728"/>
        <c:axId val="723018272"/>
      </c:scatterChart>
      <c:valAx>
        <c:axId val="723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18272"/>
        <c:crosses val="autoZero"/>
        <c:crossBetween val="midCat"/>
      </c:valAx>
      <c:valAx>
        <c:axId val="7230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Summary!$AF$417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Summary!$AF$418:$AF$429</c:f>
              <c:numCache>
                <c:formatCode>General</c:formatCode>
                <c:ptCount val="12"/>
                <c:pt idx="0">
                  <c:v>0.79555555555556468</c:v>
                </c:pt>
                <c:pt idx="1">
                  <c:v>1.2222222222222221</c:v>
                </c:pt>
                <c:pt idx="2">
                  <c:v>1.7644444444444567</c:v>
                </c:pt>
                <c:pt idx="3">
                  <c:v>2.0138888888888888</c:v>
                </c:pt>
                <c:pt idx="4">
                  <c:v>2.4894444444444419</c:v>
                </c:pt>
                <c:pt idx="5">
                  <c:v>2.333333333333333</c:v>
                </c:pt>
                <c:pt idx="6">
                  <c:v>2.1499999999999901</c:v>
                </c:pt>
                <c:pt idx="7">
                  <c:v>1.8727777777777799</c:v>
                </c:pt>
                <c:pt idx="8">
                  <c:v>1.593888888888892</c:v>
                </c:pt>
                <c:pt idx="9">
                  <c:v>1.4788888888888827</c:v>
                </c:pt>
                <c:pt idx="10">
                  <c:v>1.2055555555555455</c:v>
                </c:pt>
                <c:pt idx="11">
                  <c:v>1.0200000000000071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00B-82C0-D43CF75ED3F7}"/>
            </c:ext>
          </c:extLst>
        </c:ser>
        <c:ser>
          <c:idx val="0"/>
          <c:order val="1"/>
          <c:tx>
            <c:strRef>
              <c:f>Summary!$Z$417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Summary!$Z$418:$Z$429</c:f>
              <c:numCache>
                <c:formatCode>General</c:formatCode>
                <c:ptCount val="12"/>
                <c:pt idx="0">
                  <c:v>3.0083333333333386</c:v>
                </c:pt>
                <c:pt idx="1">
                  <c:v>3.626666666666678</c:v>
                </c:pt>
                <c:pt idx="2">
                  <c:v>4.417222222222235</c:v>
                </c:pt>
                <c:pt idx="3">
                  <c:v>4.257777777777771</c:v>
                </c:pt>
                <c:pt idx="4">
                  <c:v>3.6405555555555669</c:v>
                </c:pt>
                <c:pt idx="5">
                  <c:v>2.9844444444444331</c:v>
                </c:pt>
                <c:pt idx="6">
                  <c:v>2.6583333333333283</c:v>
                </c:pt>
                <c:pt idx="7">
                  <c:v>2.2205555555555443</c:v>
                </c:pt>
                <c:pt idx="8">
                  <c:v>1.7116666666666633</c:v>
                </c:pt>
                <c:pt idx="9">
                  <c:v>1.6577777777777858</c:v>
                </c:pt>
                <c:pt idx="10">
                  <c:v>1.2416666666666616</c:v>
                </c:pt>
                <c:pt idx="11">
                  <c:v>1.1799999999999877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00B-82C0-D43CF75ED3F7}"/>
            </c:ext>
          </c:extLst>
        </c:ser>
        <c:ser>
          <c:idx val="2"/>
          <c:order val="2"/>
          <c:tx>
            <c:strRef>
              <c:f>Summary!$AD$417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Summary!$AD$418:$AD$429</c:f>
              <c:numCache>
                <c:formatCode>General</c:formatCode>
                <c:ptCount val="12"/>
                <c:pt idx="0">
                  <c:v>4.4444444444444438</c:v>
                </c:pt>
                <c:pt idx="1">
                  <c:v>4.833333333333333</c:v>
                </c:pt>
                <c:pt idx="2">
                  <c:v>5.5</c:v>
                </c:pt>
                <c:pt idx="3">
                  <c:v>4.9444444444444446</c:v>
                </c:pt>
                <c:pt idx="4">
                  <c:v>3.833333333333333</c:v>
                </c:pt>
                <c:pt idx="5">
                  <c:v>2.9744444444444422</c:v>
                </c:pt>
                <c:pt idx="6">
                  <c:v>2.6111111111111107</c:v>
                </c:pt>
                <c:pt idx="7">
                  <c:v>2.0555555555555558</c:v>
                </c:pt>
                <c:pt idx="8">
                  <c:v>1.9444444444444444</c:v>
                </c:pt>
                <c:pt idx="9">
                  <c:v>1.4788888888888827</c:v>
                </c:pt>
                <c:pt idx="10">
                  <c:v>1.2594444444444484</c:v>
                </c:pt>
                <c:pt idx="11">
                  <c:v>1.0555555555555556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00B-82C0-D43CF75ED3F7}"/>
            </c:ext>
          </c:extLst>
        </c:ser>
        <c:ser>
          <c:idx val="1"/>
          <c:order val="3"/>
          <c:tx>
            <c:strRef>
              <c:f>Summary!$AB$417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Summary!$AB$418:$AB$429</c:f>
              <c:numCache>
                <c:formatCode>General</c:formatCode>
                <c:ptCount val="12"/>
                <c:pt idx="0">
                  <c:v>4.4805555555555614</c:v>
                </c:pt>
                <c:pt idx="1">
                  <c:v>5.2533333333333561</c:v>
                </c:pt>
                <c:pt idx="2">
                  <c:v>5.5505555555555475</c:v>
                </c:pt>
                <c:pt idx="3">
                  <c:v>4.5594444444444537</c:v>
                </c:pt>
                <c:pt idx="4">
                  <c:v>3.7872222222222267</c:v>
                </c:pt>
                <c:pt idx="5">
                  <c:v>2.9244444444444371</c:v>
                </c:pt>
                <c:pt idx="6">
                  <c:v>2.4733333333333323</c:v>
                </c:pt>
                <c:pt idx="7">
                  <c:v>2.0200000000000067</c:v>
                </c:pt>
                <c:pt idx="8">
                  <c:v>1.8594444444444334</c:v>
                </c:pt>
                <c:pt idx="9">
                  <c:v>1.4627777777777737</c:v>
                </c:pt>
                <c:pt idx="10">
                  <c:v>1.2416666666666616</c:v>
                </c:pt>
                <c:pt idx="11">
                  <c:v>1.0399999999999889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00B-82C0-D43CF75ED3F7}"/>
            </c:ext>
          </c:extLst>
        </c:ser>
        <c:ser>
          <c:idx val="4"/>
          <c:order val="4"/>
          <c:tx>
            <c:strRef>
              <c:f>Summary!$X$417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Summary!$X$418:$X$429</c:f>
              <c:numCache>
                <c:formatCode>General</c:formatCode>
                <c:ptCount val="12"/>
                <c:pt idx="0">
                  <c:v>5.0761111111111052</c:v>
                </c:pt>
                <c:pt idx="1">
                  <c:v>5.2166666666666464</c:v>
                </c:pt>
                <c:pt idx="2">
                  <c:v>5.9299999999999882</c:v>
                </c:pt>
                <c:pt idx="3">
                  <c:v>4.8672222222222299</c:v>
                </c:pt>
                <c:pt idx="4">
                  <c:v>3.9916666666666614</c:v>
                </c:pt>
                <c:pt idx="5">
                  <c:v>3.1049999999999929</c:v>
                </c:pt>
                <c:pt idx="6">
                  <c:v>2.6116666666666788</c:v>
                </c:pt>
                <c:pt idx="7">
                  <c:v>2.1266666666666776</c:v>
                </c:pt>
                <c:pt idx="8">
                  <c:v>1.8005555555555477</c:v>
                </c:pt>
                <c:pt idx="9">
                  <c:v>1.6738888888888952</c:v>
                </c:pt>
                <c:pt idx="10">
                  <c:v>1.2955555555555645</c:v>
                </c:pt>
                <c:pt idx="11">
                  <c:v>1.080000000000003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8A-400B-82C0-D43CF75E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97392"/>
        <c:axId val="723908816"/>
      </c:scatterChart>
      <c:valAx>
        <c:axId val="72389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908816"/>
        <c:crosses val="autoZero"/>
        <c:crossBetween val="midCat"/>
      </c:valAx>
      <c:valAx>
        <c:axId val="7239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9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Summary!$AF$417</c:f>
              <c:strCache>
                <c:ptCount val="1"/>
                <c:pt idx="0">
                  <c:v>100</c:v>
                </c:pt>
              </c:strCache>
            </c:strRef>
          </c:tx>
          <c:spPr>
            <a:ln w="12700" cap="rnd">
              <a:solidFill>
                <a:schemeClr val="tx1">
                  <a:alpha val="97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Summary!$AF$418:$AF$429</c:f>
              <c:numCache>
                <c:formatCode>General</c:formatCode>
                <c:ptCount val="12"/>
                <c:pt idx="0">
                  <c:v>0.79555555555556468</c:v>
                </c:pt>
                <c:pt idx="1">
                  <c:v>1.2222222222222221</c:v>
                </c:pt>
                <c:pt idx="2">
                  <c:v>1.7644444444444567</c:v>
                </c:pt>
                <c:pt idx="3">
                  <c:v>2.0138888888888888</c:v>
                </c:pt>
                <c:pt idx="4">
                  <c:v>2.4894444444444419</c:v>
                </c:pt>
                <c:pt idx="5">
                  <c:v>2.333333333333333</c:v>
                </c:pt>
                <c:pt idx="6">
                  <c:v>2.1499999999999901</c:v>
                </c:pt>
                <c:pt idx="7">
                  <c:v>1.8727777777777799</c:v>
                </c:pt>
                <c:pt idx="8">
                  <c:v>1.593888888888892</c:v>
                </c:pt>
                <c:pt idx="9">
                  <c:v>1.4788888888888827</c:v>
                </c:pt>
                <c:pt idx="10">
                  <c:v>1.2055555555555455</c:v>
                </c:pt>
                <c:pt idx="11">
                  <c:v>1.0200000000000071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F-4052-9F3B-E426C7771E9C}"/>
            </c:ext>
          </c:extLst>
        </c:ser>
        <c:ser>
          <c:idx val="0"/>
          <c:order val="1"/>
          <c:tx>
            <c:strRef>
              <c:f>Summary!$Z$417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Summary!$Z$418:$Z$429</c:f>
              <c:numCache>
                <c:formatCode>General</c:formatCode>
                <c:ptCount val="12"/>
                <c:pt idx="0">
                  <c:v>3.0083333333333386</c:v>
                </c:pt>
                <c:pt idx="1">
                  <c:v>3.626666666666678</c:v>
                </c:pt>
                <c:pt idx="2">
                  <c:v>4.417222222222235</c:v>
                </c:pt>
                <c:pt idx="3">
                  <c:v>4.257777777777771</c:v>
                </c:pt>
                <c:pt idx="4">
                  <c:v>3.6405555555555669</c:v>
                </c:pt>
                <c:pt idx="5">
                  <c:v>2.9844444444444331</c:v>
                </c:pt>
                <c:pt idx="6">
                  <c:v>2.6583333333333283</c:v>
                </c:pt>
                <c:pt idx="7">
                  <c:v>2.2205555555555443</c:v>
                </c:pt>
                <c:pt idx="8">
                  <c:v>1.7116666666666633</c:v>
                </c:pt>
                <c:pt idx="9">
                  <c:v>1.6577777777777858</c:v>
                </c:pt>
                <c:pt idx="10">
                  <c:v>1.2416666666666616</c:v>
                </c:pt>
                <c:pt idx="11">
                  <c:v>1.1799999999999877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F-4052-9F3B-E426C7771E9C}"/>
            </c:ext>
          </c:extLst>
        </c:ser>
        <c:ser>
          <c:idx val="2"/>
          <c:order val="2"/>
          <c:tx>
            <c:strRef>
              <c:f>Summary!$AD$417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Summary!$AD$418:$AD$429</c:f>
              <c:numCache>
                <c:formatCode>General</c:formatCode>
                <c:ptCount val="12"/>
                <c:pt idx="0">
                  <c:v>4.4444444444444438</c:v>
                </c:pt>
                <c:pt idx="1">
                  <c:v>4.833333333333333</c:v>
                </c:pt>
                <c:pt idx="2">
                  <c:v>5.5</c:v>
                </c:pt>
                <c:pt idx="3">
                  <c:v>4.9444444444444446</c:v>
                </c:pt>
                <c:pt idx="4">
                  <c:v>3.833333333333333</c:v>
                </c:pt>
                <c:pt idx="5">
                  <c:v>2.9744444444444422</c:v>
                </c:pt>
                <c:pt idx="6">
                  <c:v>2.6111111111111107</c:v>
                </c:pt>
                <c:pt idx="7">
                  <c:v>2.0555555555555558</c:v>
                </c:pt>
                <c:pt idx="8">
                  <c:v>1.9444444444444444</c:v>
                </c:pt>
                <c:pt idx="9">
                  <c:v>1.4788888888888827</c:v>
                </c:pt>
                <c:pt idx="10">
                  <c:v>1.2594444444444484</c:v>
                </c:pt>
                <c:pt idx="11">
                  <c:v>1.0555555555555556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F-4052-9F3B-E426C7771E9C}"/>
            </c:ext>
          </c:extLst>
        </c:ser>
        <c:ser>
          <c:idx val="1"/>
          <c:order val="3"/>
          <c:tx>
            <c:strRef>
              <c:f>Summary!$AB$417</c:f>
              <c:strCache>
                <c:ptCount val="1"/>
                <c:pt idx="0">
                  <c:v>0,1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Summary!$AB$418:$AB$429</c:f>
              <c:numCache>
                <c:formatCode>General</c:formatCode>
                <c:ptCount val="12"/>
                <c:pt idx="0">
                  <c:v>4.4805555555555614</c:v>
                </c:pt>
                <c:pt idx="1">
                  <c:v>5.2533333333333561</c:v>
                </c:pt>
                <c:pt idx="2">
                  <c:v>5.5505555555555475</c:v>
                </c:pt>
                <c:pt idx="3">
                  <c:v>4.5594444444444537</c:v>
                </c:pt>
                <c:pt idx="4">
                  <c:v>3.7872222222222267</c:v>
                </c:pt>
                <c:pt idx="5">
                  <c:v>2.9244444444444371</c:v>
                </c:pt>
                <c:pt idx="6">
                  <c:v>2.4733333333333323</c:v>
                </c:pt>
                <c:pt idx="7">
                  <c:v>2.0200000000000067</c:v>
                </c:pt>
                <c:pt idx="8">
                  <c:v>1.8594444444444334</c:v>
                </c:pt>
                <c:pt idx="9">
                  <c:v>1.4627777777777737</c:v>
                </c:pt>
                <c:pt idx="10">
                  <c:v>1.2416666666666616</c:v>
                </c:pt>
                <c:pt idx="11">
                  <c:v>1.0399999999999889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F-4052-9F3B-E426C7771E9C}"/>
            </c:ext>
          </c:extLst>
        </c:ser>
        <c:ser>
          <c:idx val="4"/>
          <c:order val="4"/>
          <c:tx>
            <c:strRef>
              <c:f>Summary!$X$417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Summary!$W$418:$W$429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Summary!$X$418:$X$429</c:f>
              <c:numCache>
                <c:formatCode>General</c:formatCode>
                <c:ptCount val="12"/>
                <c:pt idx="0">
                  <c:v>5.0761111111111052</c:v>
                </c:pt>
                <c:pt idx="1">
                  <c:v>5.2166666666666464</c:v>
                </c:pt>
                <c:pt idx="2">
                  <c:v>5.9299999999999882</c:v>
                </c:pt>
                <c:pt idx="3">
                  <c:v>4.8672222222222299</c:v>
                </c:pt>
                <c:pt idx="4">
                  <c:v>3.9916666666666614</c:v>
                </c:pt>
                <c:pt idx="5">
                  <c:v>3.1049999999999929</c:v>
                </c:pt>
                <c:pt idx="6">
                  <c:v>2.6116666666666788</c:v>
                </c:pt>
                <c:pt idx="7">
                  <c:v>2.1266666666666776</c:v>
                </c:pt>
                <c:pt idx="8">
                  <c:v>1.8005555555555477</c:v>
                </c:pt>
                <c:pt idx="9">
                  <c:v>1.6738888888888952</c:v>
                </c:pt>
                <c:pt idx="10">
                  <c:v>1.2955555555555645</c:v>
                </c:pt>
                <c:pt idx="11">
                  <c:v>1.080000000000003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F-4052-9F3B-E426C7771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97936"/>
        <c:axId val="723902288"/>
      </c:scatterChart>
      <c:valAx>
        <c:axId val="723897936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23902288"/>
        <c:crosses val="autoZero"/>
        <c:crossBetween val="midCat"/>
        <c:majorUnit val="0.5"/>
      </c:valAx>
      <c:valAx>
        <c:axId val="723902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23897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L=60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Summary!$V$182:$V$196</c:f>
              <c:numCache>
                <c:formatCode>General</c:formatCode>
                <c:ptCount val="15"/>
                <c:pt idx="0">
                  <c:v>5.0397545457129427E-4</c:v>
                </c:pt>
                <c:pt idx="1">
                  <c:v>1.345527623708449E-3</c:v>
                </c:pt>
                <c:pt idx="2">
                  <c:v>5.0099091401717153E-3</c:v>
                </c:pt>
                <c:pt idx="3">
                  <c:v>1.1236904826653323E-2</c:v>
                </c:pt>
                <c:pt idx="4">
                  <c:v>2.328465172115329E-2</c:v>
                </c:pt>
                <c:pt idx="5">
                  <c:v>4.2845190343574882E-2</c:v>
                </c:pt>
                <c:pt idx="6">
                  <c:v>7.5179272930657556E-2</c:v>
                </c:pt>
                <c:pt idx="7">
                  <c:v>0.11713952329564974</c:v>
                </c:pt>
                <c:pt idx="8">
                  <c:v>0.17823403562352408</c:v>
                </c:pt>
                <c:pt idx="9">
                  <c:v>0.25656780726680473</c:v>
                </c:pt>
                <c:pt idx="10">
                  <c:v>0.51507169289582355</c:v>
                </c:pt>
                <c:pt idx="11">
                  <c:v>1.2308342792070741</c:v>
                </c:pt>
                <c:pt idx="12">
                  <c:v>2.3377035526039402</c:v>
                </c:pt>
                <c:pt idx="13">
                  <c:v>3.5569407024172444</c:v>
                </c:pt>
                <c:pt idx="14">
                  <c:v>5</c:v>
                </c:pt>
              </c:numCache>
            </c:numRef>
          </c:xVal>
          <c:yVal>
            <c:numRef>
              <c:f>Summary!$W$182:$W$196</c:f>
              <c:numCache>
                <c:formatCode>General</c:formatCode>
                <c:ptCount val="15"/>
                <c:pt idx="0">
                  <c:v>2.2028218694885364</c:v>
                </c:pt>
                <c:pt idx="1">
                  <c:v>2.1975308641975309</c:v>
                </c:pt>
                <c:pt idx="2">
                  <c:v>2.165</c:v>
                </c:pt>
                <c:pt idx="3">
                  <c:v>2.1093474426807761</c:v>
                </c:pt>
                <c:pt idx="4">
                  <c:v>2.0405643738977073</c:v>
                </c:pt>
                <c:pt idx="5">
                  <c:v>1.9470899470899474</c:v>
                </c:pt>
                <c:pt idx="6">
                  <c:v>1.8483245149911816</c:v>
                </c:pt>
                <c:pt idx="7">
                  <c:v>1.742504409171076</c:v>
                </c:pt>
                <c:pt idx="8">
                  <c:v>1.6560846560846558</c:v>
                </c:pt>
                <c:pt idx="9">
                  <c:v>1.5925925925925926</c:v>
                </c:pt>
                <c:pt idx="10">
                  <c:v>1.55</c:v>
                </c:pt>
                <c:pt idx="11">
                  <c:v>1.66</c:v>
                </c:pt>
                <c:pt idx="12">
                  <c:v>1.99</c:v>
                </c:pt>
                <c:pt idx="13">
                  <c:v>2.3580246913580245</c:v>
                </c:pt>
                <c:pt idx="1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B-4B87-BB7E-109B0AA48F56}"/>
            </c:ext>
          </c:extLst>
        </c:ser>
        <c:ser>
          <c:idx val="1"/>
          <c:order val="1"/>
          <c:tx>
            <c:v>L=20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Summary!$X$182:$X$196</c:f>
              <c:numCache>
                <c:formatCode>General</c:formatCode>
                <c:ptCount val="15"/>
                <c:pt idx="0">
                  <c:v>5.0397545457129427E-4</c:v>
                </c:pt>
                <c:pt idx="1">
                  <c:v>1.345527623708449E-3</c:v>
                </c:pt>
                <c:pt idx="2">
                  <c:v>5.0099091401717153E-3</c:v>
                </c:pt>
                <c:pt idx="3">
                  <c:v>1.1236904826653323E-2</c:v>
                </c:pt>
                <c:pt idx="4">
                  <c:v>2.328465172115329E-2</c:v>
                </c:pt>
                <c:pt idx="5">
                  <c:v>4.2845190343574882E-2</c:v>
                </c:pt>
                <c:pt idx="6">
                  <c:v>7.5179272930657556E-2</c:v>
                </c:pt>
                <c:pt idx="7">
                  <c:v>0.11713952329564974</c:v>
                </c:pt>
                <c:pt idx="8">
                  <c:v>0.17823403562352408</c:v>
                </c:pt>
                <c:pt idx="9">
                  <c:v>0.25656780726680473</c:v>
                </c:pt>
                <c:pt idx="10">
                  <c:v>0.4</c:v>
                </c:pt>
                <c:pt idx="11">
                  <c:v>0.6</c:v>
                </c:pt>
                <c:pt idx="12">
                  <c:v>1.2308342792070741</c:v>
                </c:pt>
                <c:pt idx="13">
                  <c:v>2.3377035526039402</c:v>
                </c:pt>
                <c:pt idx="14">
                  <c:v>3.5569407024172444</c:v>
                </c:pt>
              </c:numCache>
            </c:numRef>
          </c:xVal>
          <c:yVal>
            <c:numRef>
              <c:f>Summary!$Y$182:$Y$196</c:f>
              <c:numCache>
                <c:formatCode>General</c:formatCode>
                <c:ptCount val="15"/>
                <c:pt idx="0">
                  <c:v>1.595</c:v>
                </c:pt>
                <c:pt idx="1">
                  <c:v>1.595</c:v>
                </c:pt>
                <c:pt idx="2">
                  <c:v>1.595</c:v>
                </c:pt>
                <c:pt idx="3">
                  <c:v>1.59</c:v>
                </c:pt>
                <c:pt idx="4">
                  <c:v>1.58</c:v>
                </c:pt>
                <c:pt idx="5">
                  <c:v>1.57</c:v>
                </c:pt>
                <c:pt idx="6">
                  <c:v>1.56</c:v>
                </c:pt>
                <c:pt idx="7">
                  <c:v>1.5549999999999999</c:v>
                </c:pt>
                <c:pt idx="8">
                  <c:v>1.54</c:v>
                </c:pt>
                <c:pt idx="9">
                  <c:v>1.53</c:v>
                </c:pt>
                <c:pt idx="10">
                  <c:v>1.52</c:v>
                </c:pt>
                <c:pt idx="11">
                  <c:v>1.53</c:v>
                </c:pt>
                <c:pt idx="12">
                  <c:v>1.66</c:v>
                </c:pt>
                <c:pt idx="13">
                  <c:v>1.99</c:v>
                </c:pt>
                <c:pt idx="14">
                  <c:v>2.3580246913580245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B-4B87-BB7E-109B0AA4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06096"/>
        <c:axId val="723895760"/>
      </c:scatterChart>
      <c:valAx>
        <c:axId val="723906096"/>
        <c:scaling>
          <c:logBase val="10"/>
          <c:orientation val="minMax"/>
          <c:max val="5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95760"/>
        <c:crosses val="autoZero"/>
        <c:crossBetween val="midCat"/>
      </c:valAx>
      <c:valAx>
        <c:axId val="723895760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906096"/>
        <c:crossesAt val="5.0000000000000012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4"/>
          <c:order val="0"/>
          <c:tx>
            <c:v>(1) Free-molecular limit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Summary!$I$539:$I$540</c:f>
              <c:numCache>
                <c:formatCode>General</c:formatCode>
                <c:ptCount val="2"/>
                <c:pt idx="0">
                  <c:v>1.3522326681597558</c:v>
                </c:pt>
                <c:pt idx="1">
                  <c:v>1.3522326681597558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850-A6A6-EC5A5B3CFCBC}"/>
            </c:ext>
          </c:extLst>
        </c:ser>
        <c:ser>
          <c:idx val="2"/>
          <c:order val="1"/>
          <c:tx>
            <c:v>(2) Akinshin et al., 1988, Statement 1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Summary!$AK$181:$AK$193</c:f>
              <c:numCache>
                <c:formatCode>General</c:formatCode>
                <c:ptCount val="13"/>
                <c:pt idx="0">
                  <c:v>5.0099091401717153E-3</c:v>
                </c:pt>
                <c:pt idx="1">
                  <c:v>1.1236904826653323E-2</c:v>
                </c:pt>
                <c:pt idx="2">
                  <c:v>2.328465172115329E-2</c:v>
                </c:pt>
                <c:pt idx="3">
                  <c:v>4.2845190343574882E-2</c:v>
                </c:pt>
                <c:pt idx="4">
                  <c:v>7.5179272930657556E-2</c:v>
                </c:pt>
                <c:pt idx="5">
                  <c:v>0.11713952329564974</c:v>
                </c:pt>
                <c:pt idx="6">
                  <c:v>0.17823403562352408</c:v>
                </c:pt>
                <c:pt idx="7">
                  <c:v>0.25656780726680473</c:v>
                </c:pt>
                <c:pt idx="8">
                  <c:v>0.4</c:v>
                </c:pt>
                <c:pt idx="9">
                  <c:v>0.6</c:v>
                </c:pt>
                <c:pt idx="10">
                  <c:v>1.2308342792070741</c:v>
                </c:pt>
                <c:pt idx="11">
                  <c:v>2.3377035526039402</c:v>
                </c:pt>
                <c:pt idx="12">
                  <c:v>3.5569407024172444</c:v>
                </c:pt>
              </c:numCache>
            </c:numRef>
          </c:xVal>
          <c:yVal>
            <c:numRef>
              <c:f>Summary!$AL$181:$AL$193</c:f>
              <c:numCache>
                <c:formatCode>General</c:formatCode>
                <c:ptCount val="13"/>
                <c:pt idx="0">
                  <c:v>1.3</c:v>
                </c:pt>
                <c:pt idx="1">
                  <c:v>1.28</c:v>
                </c:pt>
                <c:pt idx="2">
                  <c:v>1.25</c:v>
                </c:pt>
                <c:pt idx="3">
                  <c:v>1.22</c:v>
                </c:pt>
                <c:pt idx="4">
                  <c:v>1.2</c:v>
                </c:pt>
                <c:pt idx="5">
                  <c:v>1.1599999999999999</c:v>
                </c:pt>
                <c:pt idx="6">
                  <c:v>1.1399999999999999</c:v>
                </c:pt>
                <c:pt idx="7">
                  <c:v>1.1299999999999999</c:v>
                </c:pt>
                <c:pt idx="8">
                  <c:v>1.1200000000000001</c:v>
                </c:pt>
                <c:pt idx="9">
                  <c:v>1.1299999999999999</c:v>
                </c:pt>
                <c:pt idx="10">
                  <c:v>1.2</c:v>
                </c:pt>
                <c:pt idx="11">
                  <c:v>1.36</c:v>
                </c:pt>
                <c:pt idx="12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8-4850-A6A6-EC5A5B3CFCBC}"/>
            </c:ext>
          </c:extLst>
        </c:ser>
        <c:ser>
          <c:idx val="9"/>
          <c:order val="2"/>
          <c:tx>
            <c:v>(3) Akinshin et al., 1989, Statement 2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Summary!$AY$179:$AY$191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0.01</c:v>
                </c:pt>
                <c:pt idx="2">
                  <c:v>2.328465172115329E-2</c:v>
                </c:pt>
                <c:pt idx="3">
                  <c:v>4.2845190343574882E-2</c:v>
                </c:pt>
                <c:pt idx="4">
                  <c:v>7.5179272930657556E-2</c:v>
                </c:pt>
                <c:pt idx="5">
                  <c:v>0.11713952329564974</c:v>
                </c:pt>
                <c:pt idx="6">
                  <c:v>0.17823403562352408</c:v>
                </c:pt>
                <c:pt idx="7">
                  <c:v>0.3</c:v>
                </c:pt>
                <c:pt idx="8">
                  <c:v>0.55000000000000004</c:v>
                </c:pt>
                <c:pt idx="9">
                  <c:v>1.2308342792070741</c:v>
                </c:pt>
                <c:pt idx="10">
                  <c:v>2.3377035526039402</c:v>
                </c:pt>
                <c:pt idx="11">
                  <c:v>3.5569407024172444</c:v>
                </c:pt>
                <c:pt idx="12">
                  <c:v>5</c:v>
                </c:pt>
              </c:numCache>
            </c:numRef>
          </c:xVal>
          <c:yVal>
            <c:numRef>
              <c:f>Summary!$BA$179:$BA$191</c:f>
              <c:numCache>
                <c:formatCode>General</c:formatCode>
                <c:ptCount val="13"/>
                <c:pt idx="0">
                  <c:v>1.35</c:v>
                </c:pt>
                <c:pt idx="1">
                  <c:v>1.35</c:v>
                </c:pt>
                <c:pt idx="2">
                  <c:v>1.35</c:v>
                </c:pt>
                <c:pt idx="3">
                  <c:v>1.3272193690388849</c:v>
                </c:pt>
                <c:pt idx="4">
                  <c:v>1.2975055025678652</c:v>
                </c:pt>
                <c:pt idx="5">
                  <c:v>1.2677916360968453</c:v>
                </c:pt>
                <c:pt idx="6">
                  <c:v>1.2479823917828321</c:v>
                </c:pt>
                <c:pt idx="7">
                  <c:v>1.2479823917828321</c:v>
                </c:pt>
                <c:pt idx="8">
                  <c:v>1.2975055025678652</c:v>
                </c:pt>
                <c:pt idx="9">
                  <c:v>1.4559794570799707</c:v>
                </c:pt>
                <c:pt idx="10">
                  <c:v>1.7134996331621424</c:v>
                </c:pt>
                <c:pt idx="11">
                  <c:v>2.0304475421863537</c:v>
                </c:pt>
                <c:pt idx="12">
                  <c:v>2.4761555392516508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B8-4850-A6A6-EC5A5B3CFCBC}"/>
            </c:ext>
          </c:extLst>
        </c:ser>
        <c:ser>
          <c:idx val="7"/>
          <c:order val="3"/>
          <c:tx>
            <c:v>(4) Titarev, 2012, Statement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Summary!$C$547:$C$555</c:f>
              <c:numCache>
                <c:formatCode>General</c:formatCode>
                <c:ptCount val="9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Summary!$G$547:$G$555</c:f>
              <c:numCache>
                <c:formatCode>General</c:formatCode>
                <c:ptCount val="9"/>
                <c:pt idx="0">
                  <c:v>1.345</c:v>
                </c:pt>
                <c:pt idx="1">
                  <c:v>1.29</c:v>
                </c:pt>
                <c:pt idx="2">
                  <c:v>1.385</c:v>
                </c:pt>
                <c:pt idx="3">
                  <c:v>1.65</c:v>
                </c:pt>
                <c:pt idx="4">
                  <c:v>2.5</c:v>
                </c:pt>
                <c:pt idx="5">
                  <c:v>3.9950000000000001</c:v>
                </c:pt>
                <c:pt idx="6">
                  <c:v>9.85</c:v>
                </c:pt>
                <c:pt idx="7">
                  <c:v>15.05</c:v>
                </c:pt>
                <c:pt idx="8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8-4850-A6A6-EC5A5B3CFCBC}"/>
            </c:ext>
          </c:extLst>
        </c:ser>
        <c:ser>
          <c:idx val="3"/>
          <c:order val="4"/>
          <c:tx>
            <c:v>(5) EDMD, Statement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'Март 2018'!$Z$28:$Z$43</c:f>
              <c:numCache>
                <c:formatCode>General</c:formatCode>
                <c:ptCount val="16"/>
                <c:pt idx="0">
                  <c:v>4.4311346272637895</c:v>
                </c:pt>
                <c:pt idx="1">
                  <c:v>2.7694591420398686</c:v>
                </c:pt>
                <c:pt idx="2">
                  <c:v>1.7042825489476112</c:v>
                </c:pt>
                <c:pt idx="3">
                  <c:v>1.0807645432350705</c:v>
                </c:pt>
                <c:pt idx="4">
                  <c:v>0.67138403443390748</c:v>
                </c:pt>
                <c:pt idx="5">
                  <c:v>0.42201282164417042</c:v>
                </c:pt>
                <c:pt idx="6">
                  <c:v>0.26375801352760653</c:v>
                </c:pt>
                <c:pt idx="7">
                  <c:v>0.16534084430088766</c:v>
                </c:pt>
                <c:pt idx="8">
                  <c:v>0.10328985145137039</c:v>
                </c:pt>
                <c:pt idx="9">
                  <c:v>6.4499776233825176E-2</c:v>
                </c:pt>
                <c:pt idx="10">
                  <c:v>4.0283042066034454E-2</c:v>
                </c:pt>
                <c:pt idx="11">
                  <c:v>2.5191214481317736E-2</c:v>
                </c:pt>
                <c:pt idx="12">
                  <c:v>1.5741153205199965E-2</c:v>
                </c:pt>
                <c:pt idx="13">
                  <c:v>9.838220753249978E-3</c:v>
                </c:pt>
                <c:pt idx="14">
                  <c:v>6.1492292912347897E-3</c:v>
                </c:pt>
                <c:pt idx="15">
                  <c:v>3.8434683209851582E-3</c:v>
                </c:pt>
              </c:numCache>
            </c:numRef>
          </c:xVal>
          <c:yVal>
            <c:numRef>
              <c:f>'Март 2018'!$AM$28:$AM$43</c:f>
              <c:numCache>
                <c:formatCode>General</c:formatCode>
                <c:ptCount val="16"/>
                <c:pt idx="0">
                  <c:v>1.6547869527185428</c:v>
                </c:pt>
                <c:pt idx="1">
                  <c:v>1.4241141546773812</c:v>
                </c:pt>
                <c:pt idx="2">
                  <c:v>1.271159388148658</c:v>
                </c:pt>
                <c:pt idx="3">
                  <c:v>1.1963550194288386</c:v>
                </c:pt>
                <c:pt idx="4">
                  <c:v>1.1765835354358265</c:v>
                </c:pt>
                <c:pt idx="5">
                  <c:v>1.1654094645947961</c:v>
                </c:pt>
                <c:pt idx="6">
                  <c:v>1.1723702705312646</c:v>
                </c:pt>
                <c:pt idx="7">
                  <c:v>1.194932374840028</c:v>
                </c:pt>
                <c:pt idx="8">
                  <c:v>1.2313713820812136</c:v>
                </c:pt>
                <c:pt idx="9">
                  <c:v>1.2716488579748102</c:v>
                </c:pt>
                <c:pt idx="10">
                  <c:v>1.2973548675971112</c:v>
                </c:pt>
                <c:pt idx="11">
                  <c:v>1.314734089738268</c:v>
                </c:pt>
                <c:pt idx="12">
                  <c:v>1.3237224337710414</c:v>
                </c:pt>
                <c:pt idx="13">
                  <c:v>1.3447942096964038</c:v>
                </c:pt>
                <c:pt idx="14">
                  <c:v>1.3495129818590228</c:v>
                </c:pt>
                <c:pt idx="15">
                  <c:v>1.3457803415668259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8-4850-A6A6-EC5A5B3CFCBC}"/>
            </c:ext>
          </c:extLst>
        </c:ser>
        <c:ser>
          <c:idx val="0"/>
          <c:order val="5"/>
          <c:tx>
            <c:v>(6) EDMD, Statement 2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'Март 2018'!$Z$47:$Z$62</c:f>
              <c:numCache>
                <c:formatCode>General</c:formatCode>
                <c:ptCount val="16"/>
                <c:pt idx="0">
                  <c:v>4.4311346272637895</c:v>
                </c:pt>
                <c:pt idx="1">
                  <c:v>2.7694591420398686</c:v>
                </c:pt>
                <c:pt idx="2">
                  <c:v>1.7042825489476112</c:v>
                </c:pt>
                <c:pt idx="3">
                  <c:v>1.0807645432350705</c:v>
                </c:pt>
                <c:pt idx="4">
                  <c:v>0.67138403443390748</c:v>
                </c:pt>
                <c:pt idx="5">
                  <c:v>0.42201282164417042</c:v>
                </c:pt>
                <c:pt idx="6">
                  <c:v>0.26375801352760653</c:v>
                </c:pt>
                <c:pt idx="7">
                  <c:v>0.16534084430088766</c:v>
                </c:pt>
                <c:pt idx="8">
                  <c:v>0.10328985145137039</c:v>
                </c:pt>
                <c:pt idx="9">
                  <c:v>6.4499776233825176E-2</c:v>
                </c:pt>
                <c:pt idx="10">
                  <c:v>4.0283042066034454E-2</c:v>
                </c:pt>
                <c:pt idx="11">
                  <c:v>2.5191214481317736E-2</c:v>
                </c:pt>
                <c:pt idx="12">
                  <c:v>1.5741153205199965E-2</c:v>
                </c:pt>
                <c:pt idx="13">
                  <c:v>9.838220753249978E-3</c:v>
                </c:pt>
                <c:pt idx="14">
                  <c:v>6.1492292912347897E-3</c:v>
                </c:pt>
                <c:pt idx="15">
                  <c:v>3.8434683209851582E-3</c:v>
                </c:pt>
              </c:numCache>
            </c:numRef>
          </c:xVal>
          <c:yVal>
            <c:numRef>
              <c:f>'Март 2018'!$AM$47:$AM$62</c:f>
              <c:numCache>
                <c:formatCode>General</c:formatCode>
                <c:ptCount val="16"/>
                <c:pt idx="0">
                  <c:v>2.245107223462032</c:v>
                </c:pt>
                <c:pt idx="1">
                  <c:v>1.7840182839117322</c:v>
                </c:pt>
                <c:pt idx="2">
                  <c:v>1.537863039801207</c:v>
                </c:pt>
                <c:pt idx="3">
                  <c:v>1.3216591973966696</c:v>
                </c:pt>
                <c:pt idx="4">
                  <c:v>1.2613810648970269</c:v>
                </c:pt>
                <c:pt idx="5">
                  <c:v>1.2361439834919012</c:v>
                </c:pt>
                <c:pt idx="6">
                  <c:v>1.234528872121877</c:v>
                </c:pt>
                <c:pt idx="7">
                  <c:v>1.2557824044723975</c:v>
                </c:pt>
                <c:pt idx="8">
                  <c:v>1.2844659257151945</c:v>
                </c:pt>
                <c:pt idx="9">
                  <c:v>1.2720237677934529</c:v>
                </c:pt>
                <c:pt idx="10">
                  <c:v>1.3059857322808743</c:v>
                </c:pt>
                <c:pt idx="11">
                  <c:v>1.29796917546034</c:v>
                </c:pt>
                <c:pt idx="12">
                  <c:v>1.3244570751879925</c:v>
                </c:pt>
                <c:pt idx="13">
                  <c:v>1.35550814697902</c:v>
                </c:pt>
                <c:pt idx="14">
                  <c:v>1.3475301713399375</c:v>
                </c:pt>
                <c:pt idx="15">
                  <c:v>1.3414386549368187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8-4850-A6A6-EC5A5B3C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9440"/>
        <c:axId val="656549984"/>
      </c:scatterChart>
      <c:valAx>
        <c:axId val="656549440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56549984"/>
        <c:crossesAt val="0"/>
        <c:crossBetween val="midCat"/>
      </c:valAx>
      <c:valAx>
        <c:axId val="656549984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56549440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890529128212164E-2"/>
          <c:y val="6.0652735151436689E-2"/>
          <c:w val="0.54591949370814619"/>
          <c:h val="0.36068225287379013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2"/>
          <c:order val="0"/>
          <c:tx>
            <c:v>Akinshin, L=10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Summary!$AK$199:$AK$213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0.9027033336764102</c:v>
                </c:pt>
                <c:pt idx="11">
                  <c:v>1.3540550005146152</c:v>
                </c:pt>
                <c:pt idx="12">
                  <c:v>2.777695517608568</c:v>
                </c:pt>
                <c:pt idx="13">
                  <c:v>5.2756319752069105</c:v>
                </c:pt>
                <c:pt idx="14">
                  <c:v>8.0271555744033964</c:v>
                </c:pt>
              </c:numCache>
            </c:numRef>
          </c:xVal>
          <c:yVal>
            <c:numRef>
              <c:f>Summary!$AL$199:$AL$213</c:f>
              <c:numCache>
                <c:formatCode>General</c:formatCode>
                <c:ptCount val="15"/>
                <c:pt idx="0">
                  <c:v>1.4781767088951216</c:v>
                </c:pt>
                <c:pt idx="1">
                  <c:v>1.4781767088951216</c:v>
                </c:pt>
                <c:pt idx="2">
                  <c:v>1.4668929172241665</c:v>
                </c:pt>
                <c:pt idx="3">
                  <c:v>1.4443253338822561</c:v>
                </c:pt>
                <c:pt idx="4">
                  <c:v>1.4104739588693909</c:v>
                </c:pt>
                <c:pt idx="5">
                  <c:v>1.3766225838565254</c:v>
                </c:pt>
                <c:pt idx="6">
                  <c:v>1.3540550005146152</c:v>
                </c:pt>
                <c:pt idx="7">
                  <c:v>1.3089198338307946</c:v>
                </c:pt>
                <c:pt idx="8">
                  <c:v>1.2863522504888842</c:v>
                </c:pt>
                <c:pt idx="9">
                  <c:v>1.2750684588179293</c:v>
                </c:pt>
                <c:pt idx="10">
                  <c:v>1.2637846671469743</c:v>
                </c:pt>
                <c:pt idx="11">
                  <c:v>1.2750684588179293</c:v>
                </c:pt>
                <c:pt idx="12">
                  <c:v>1.3540550005146152</c:v>
                </c:pt>
                <c:pt idx="13">
                  <c:v>1.5345956672498973</c:v>
                </c:pt>
                <c:pt idx="14">
                  <c:v>1.7489877089980448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9-4522-87BB-DD9B78F6A8DA}"/>
            </c:ext>
          </c:extLst>
        </c:ser>
        <c:ser>
          <c:idx val="4"/>
          <c:order val="1"/>
          <c:tx>
            <c:v>Free-molecular L=10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Summary!$H$539:$H$540</c:f>
              <c:numCache>
                <c:formatCode>General</c:formatCode>
                <c:ptCount val="2"/>
                <c:pt idx="0">
                  <c:v>1.525831171817448</c:v>
                </c:pt>
                <c:pt idx="1">
                  <c:v>1.525831171817448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9-4522-87BB-DD9B78F6A8DA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Summary!$D$262:$D$273</c:f>
              <c:numCache>
                <c:formatCode>General</c:formatCode>
                <c:ptCount val="12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  <c:pt idx="11">
                  <c:v>4</c:v>
                </c:pt>
              </c:numCache>
            </c:numRef>
          </c:xVal>
          <c:yVal>
            <c:numRef>
              <c:f>Summary!$AN$262:$AN$273</c:f>
              <c:numCache>
                <c:formatCode>General</c:formatCode>
                <c:ptCount val="12"/>
                <c:pt idx="0">
                  <c:v>1.4908909009354778</c:v>
                </c:pt>
                <c:pt idx="1">
                  <c:v>1.5019632058205319</c:v>
                </c:pt>
                <c:pt idx="2">
                  <c:v>1.4802561035382891</c:v>
                </c:pt>
                <c:pt idx="3">
                  <c:v>1.5099056494462801</c:v>
                </c:pt>
                <c:pt idx="4">
                  <c:v>1.46931841634181</c:v>
                </c:pt>
                <c:pt idx="5">
                  <c:v>1.4383226935480946</c:v>
                </c:pt>
                <c:pt idx="6">
                  <c:v>1.4126511003374058</c:v>
                </c:pt>
                <c:pt idx="7">
                  <c:v>1.2910240187125561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9-4522-87BB-DD9B78F6A8DA}"/>
            </c:ext>
          </c:extLst>
        </c:ser>
        <c:ser>
          <c:idx val="7"/>
          <c:order val="3"/>
          <c:tx>
            <c:v>Titarev 2012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Summary!$E$547:$E$555</c:f>
              <c:numCache>
                <c:formatCode>General</c:formatCode>
                <c:ptCount val="9"/>
                <c:pt idx="0">
                  <c:v>2.2567583341910252E-2</c:v>
                </c:pt>
                <c:pt idx="1">
                  <c:v>0.22567583341910255</c:v>
                </c:pt>
                <c:pt idx="2">
                  <c:v>2.2567583341910251</c:v>
                </c:pt>
                <c:pt idx="3">
                  <c:v>4.5135166683820502</c:v>
                </c:pt>
                <c:pt idx="4">
                  <c:v>11.283791670955127</c:v>
                </c:pt>
                <c:pt idx="5">
                  <c:v>22.567583341910254</c:v>
                </c:pt>
                <c:pt idx="6">
                  <c:v>67.702750025730765</c:v>
                </c:pt>
                <c:pt idx="7">
                  <c:v>112.83791670955127</c:v>
                </c:pt>
                <c:pt idx="8">
                  <c:v>225.67583341910253</c:v>
                </c:pt>
              </c:numCache>
            </c:numRef>
          </c:xVal>
          <c:yVal>
            <c:numRef>
              <c:f>Summary!$F$547:$F$555</c:f>
              <c:numCache>
                <c:formatCode>General</c:formatCode>
                <c:ptCount val="9"/>
                <c:pt idx="0">
                  <c:v>1.5176699797434645</c:v>
                </c:pt>
                <c:pt idx="1">
                  <c:v>1.4556091255532113</c:v>
                </c:pt>
                <c:pt idx="2">
                  <c:v>1.562805146427285</c:v>
                </c:pt>
                <c:pt idx="3">
                  <c:v>1.8618256257075958</c:v>
                </c:pt>
                <c:pt idx="4">
                  <c:v>2.8209479177387817</c:v>
                </c:pt>
                <c:pt idx="5">
                  <c:v>4.5078747725465735</c:v>
                </c:pt>
                <c:pt idx="6">
                  <c:v>11.114534795890799</c:v>
                </c:pt>
                <c:pt idx="7">
                  <c:v>16.982106464787467</c:v>
                </c:pt>
                <c:pt idx="8">
                  <c:v>26.968262093582752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79-4522-87BB-DD9B78F6A8DA}"/>
            </c:ext>
          </c:extLst>
        </c:ser>
        <c:ser>
          <c:idx val="9"/>
          <c:order val="4"/>
          <c:tx>
            <c:v>Akinshin 1990, L=10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Summary!$AY$199:$AY$211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0.67702750025730762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Summary!$AZ$199:$AZ$211</c:f>
              <c:numCache>
                <c:formatCode>General</c:formatCode>
                <c:ptCount val="13"/>
                <c:pt idx="0">
                  <c:v>1.5379808047511838</c:v>
                </c:pt>
                <c:pt idx="1">
                  <c:v>1.5379808047511838</c:v>
                </c:pt>
                <c:pt idx="2">
                  <c:v>1.5379808047511838</c:v>
                </c:pt>
                <c:pt idx="3">
                  <c:v>1.5120280839079872</c:v>
                </c:pt>
                <c:pt idx="4">
                  <c:v>1.4781767088951216</c:v>
                </c:pt>
                <c:pt idx="5">
                  <c:v>1.4443253338822561</c:v>
                </c:pt>
                <c:pt idx="6">
                  <c:v>1.421757750540346</c:v>
                </c:pt>
                <c:pt idx="7">
                  <c:v>1.421757750540346</c:v>
                </c:pt>
                <c:pt idx="8">
                  <c:v>1.4781767088951216</c:v>
                </c:pt>
                <c:pt idx="9">
                  <c:v>1.6587173756304037</c:v>
                </c:pt>
                <c:pt idx="10">
                  <c:v>1.9520959590752369</c:v>
                </c:pt>
                <c:pt idx="11">
                  <c:v>2.313177292545801</c:v>
                </c:pt>
                <c:pt idx="12">
                  <c:v>2.8209479177387817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79-4522-87BB-DD9B78F6A8DA}"/>
            </c:ext>
          </c:extLst>
        </c:ser>
        <c:ser>
          <c:idx val="0"/>
          <c:order val="5"/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Summary!$D$279:$D$286</c:f>
              <c:numCache>
                <c:formatCode>General</c:formatCode>
                <c:ptCount val="8"/>
                <c:pt idx="0">
                  <c:v>0.25</c:v>
                </c:pt>
                <c:pt idx="1">
                  <c:v>0.38461538461538458</c:v>
                </c:pt>
                <c:pt idx="2">
                  <c:v>0.625</c:v>
                </c:pt>
                <c:pt idx="3">
                  <c:v>1</c:v>
                </c:pt>
                <c:pt idx="4">
                  <c:v>1.6666666666666667</c:v>
                </c:pt>
                <c:pt idx="5">
                  <c:v>2.5</c:v>
                </c:pt>
                <c:pt idx="6">
                  <c:v>6.25</c:v>
                </c:pt>
                <c:pt idx="7">
                  <c:v>12.5</c:v>
                </c:pt>
              </c:numCache>
            </c:numRef>
          </c:xVal>
          <c:yVal>
            <c:numRef>
              <c:f>Summary!$AN$279:$AN$286</c:f>
              <c:numCache>
                <c:formatCode>General</c:formatCode>
                <c:ptCount val="8"/>
                <c:pt idx="0">
                  <c:v>1.4410823561638184</c:v>
                </c:pt>
                <c:pt idx="1">
                  <c:v>1.4013364836129223</c:v>
                </c:pt>
                <c:pt idx="2">
                  <c:v>1.3424075904405073</c:v>
                </c:pt>
                <c:pt idx="3">
                  <c:v>1.3544222191455599</c:v>
                </c:pt>
                <c:pt idx="4">
                  <c:v>1.2972770103467268</c:v>
                </c:pt>
                <c:pt idx="5">
                  <c:v>1.4560249195953197</c:v>
                </c:pt>
                <c:pt idx="6">
                  <c:v>1.9217482749791948</c:v>
                </c:pt>
                <c:pt idx="7">
                  <c:v>2.460420955800263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79-4522-87BB-DD9B78F6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07728"/>
        <c:axId val="723906640"/>
      </c:scatterChart>
      <c:valAx>
        <c:axId val="723907728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906640"/>
        <c:crossesAt val="0"/>
        <c:crossBetween val="midCat"/>
      </c:valAx>
      <c:valAx>
        <c:axId val="723906640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907728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875090690095349"/>
          <c:y val="8.1378224119795103E-2"/>
          <c:w val="0.7769367543990563"/>
          <c:h val="9.1685065477979957E-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Summary!$AI$179:$AI$193</c:f>
              <c:numCache>
                <c:formatCode>General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5.0099091401717153E-3</c:v>
                </c:pt>
                <c:pt idx="3">
                  <c:v>1.1236904826653323E-2</c:v>
                </c:pt>
                <c:pt idx="4">
                  <c:v>2.328465172115329E-2</c:v>
                </c:pt>
                <c:pt idx="5">
                  <c:v>4.2845190343574882E-2</c:v>
                </c:pt>
                <c:pt idx="6">
                  <c:v>7.5179272930657556E-2</c:v>
                </c:pt>
                <c:pt idx="7">
                  <c:v>0.11713952329564974</c:v>
                </c:pt>
                <c:pt idx="8">
                  <c:v>0.17823403562352408</c:v>
                </c:pt>
                <c:pt idx="9">
                  <c:v>0.25656780726680473</c:v>
                </c:pt>
                <c:pt idx="10">
                  <c:v>0.55000000000000004</c:v>
                </c:pt>
                <c:pt idx="11">
                  <c:v>1.2308342792070741</c:v>
                </c:pt>
                <c:pt idx="12">
                  <c:v>2.3377035526039402</c:v>
                </c:pt>
                <c:pt idx="13">
                  <c:v>3.5569407024172444</c:v>
                </c:pt>
                <c:pt idx="14">
                  <c:v>5</c:v>
                </c:pt>
              </c:numCache>
            </c:numRef>
          </c:xVal>
          <c:yVal>
            <c:numRef>
              <c:f>Summary!$AJ$179:$AJ$193</c:f>
              <c:numCache>
                <c:formatCode>General</c:formatCode>
                <c:ptCount val="15"/>
                <c:pt idx="0">
                  <c:v>1.95</c:v>
                </c:pt>
                <c:pt idx="1">
                  <c:v>1.94</c:v>
                </c:pt>
                <c:pt idx="2">
                  <c:v>1.9</c:v>
                </c:pt>
                <c:pt idx="3">
                  <c:v>1.84</c:v>
                </c:pt>
                <c:pt idx="4">
                  <c:v>1.75</c:v>
                </c:pt>
                <c:pt idx="5">
                  <c:v>1.65</c:v>
                </c:pt>
                <c:pt idx="6">
                  <c:v>1.55</c:v>
                </c:pt>
                <c:pt idx="7">
                  <c:v>1.47</c:v>
                </c:pt>
                <c:pt idx="8">
                  <c:v>1.41</c:v>
                </c:pt>
                <c:pt idx="9">
                  <c:v>1.36</c:v>
                </c:pt>
                <c:pt idx="10">
                  <c:v>1.33</c:v>
                </c:pt>
                <c:pt idx="11">
                  <c:v>1.45</c:v>
                </c:pt>
                <c:pt idx="12">
                  <c:v>1.7</c:v>
                </c:pt>
                <c:pt idx="13">
                  <c:v>1.97</c:v>
                </c:pt>
                <c:pt idx="14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B-426C-84F5-BABF1F8B97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Summary!$AK$179:$AK$193</c:f>
              <c:numCache>
                <c:formatCode>General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5.0099091401717153E-3</c:v>
                </c:pt>
                <c:pt idx="3">
                  <c:v>1.1236904826653323E-2</c:v>
                </c:pt>
                <c:pt idx="4">
                  <c:v>2.328465172115329E-2</c:v>
                </c:pt>
                <c:pt idx="5">
                  <c:v>4.2845190343574882E-2</c:v>
                </c:pt>
                <c:pt idx="6">
                  <c:v>7.5179272930657556E-2</c:v>
                </c:pt>
                <c:pt idx="7">
                  <c:v>0.11713952329564974</c:v>
                </c:pt>
                <c:pt idx="8">
                  <c:v>0.17823403562352408</c:v>
                </c:pt>
                <c:pt idx="9">
                  <c:v>0.25656780726680473</c:v>
                </c:pt>
                <c:pt idx="10">
                  <c:v>0.4</c:v>
                </c:pt>
                <c:pt idx="11">
                  <c:v>0.6</c:v>
                </c:pt>
                <c:pt idx="12">
                  <c:v>1.2308342792070741</c:v>
                </c:pt>
                <c:pt idx="13">
                  <c:v>2.3377035526039402</c:v>
                </c:pt>
                <c:pt idx="14">
                  <c:v>3.5569407024172444</c:v>
                </c:pt>
              </c:numCache>
            </c:numRef>
          </c:xVal>
          <c:yVal>
            <c:numRef>
              <c:f>Summary!$AL$179:$AL$193</c:f>
              <c:numCache>
                <c:formatCode>General</c:formatCode>
                <c:ptCount val="15"/>
                <c:pt idx="0">
                  <c:v>1.31</c:v>
                </c:pt>
                <c:pt idx="1">
                  <c:v>1.31</c:v>
                </c:pt>
                <c:pt idx="2">
                  <c:v>1.3</c:v>
                </c:pt>
                <c:pt idx="3">
                  <c:v>1.28</c:v>
                </c:pt>
                <c:pt idx="4">
                  <c:v>1.25</c:v>
                </c:pt>
                <c:pt idx="5">
                  <c:v>1.22</c:v>
                </c:pt>
                <c:pt idx="6">
                  <c:v>1.2</c:v>
                </c:pt>
                <c:pt idx="7">
                  <c:v>1.1599999999999999</c:v>
                </c:pt>
                <c:pt idx="8">
                  <c:v>1.1399999999999999</c:v>
                </c:pt>
                <c:pt idx="9">
                  <c:v>1.1299999999999999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1.2</c:v>
                </c:pt>
                <c:pt idx="13">
                  <c:v>1.36</c:v>
                </c:pt>
                <c:pt idx="14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B-426C-84F5-BABF1F8B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96848"/>
        <c:axId val="723896304"/>
      </c:scatterChart>
      <c:valAx>
        <c:axId val="72389684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96304"/>
        <c:crosses val="autoZero"/>
        <c:crossBetween val="midCat"/>
      </c:valAx>
      <c:valAx>
        <c:axId val="72389630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96848"/>
        <c:crossesAt val="5.0000000000000012E-4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Summary!$AW$179:$AW$191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0.01</c:v>
                </c:pt>
                <c:pt idx="2">
                  <c:v>2.328465172115329E-2</c:v>
                </c:pt>
                <c:pt idx="3">
                  <c:v>4.2845190343574882E-2</c:v>
                </c:pt>
                <c:pt idx="4">
                  <c:v>7.5179272930657556E-2</c:v>
                </c:pt>
                <c:pt idx="5">
                  <c:v>0.11713952329564974</c:v>
                </c:pt>
                <c:pt idx="6">
                  <c:v>0.17823403562352408</c:v>
                </c:pt>
                <c:pt idx="7">
                  <c:v>0.25656780726680473</c:v>
                </c:pt>
                <c:pt idx="8">
                  <c:v>0.55000000000000004</c:v>
                </c:pt>
                <c:pt idx="9">
                  <c:v>1.2308342792070741</c:v>
                </c:pt>
                <c:pt idx="10">
                  <c:v>2.3377035526039402</c:v>
                </c:pt>
                <c:pt idx="11">
                  <c:v>3.5569407024172444</c:v>
                </c:pt>
                <c:pt idx="12">
                  <c:v>5</c:v>
                </c:pt>
              </c:numCache>
            </c:numRef>
          </c:xVal>
          <c:yVal>
            <c:numRef>
              <c:f>Summary!$AX$179:$AX$191</c:f>
              <c:numCache>
                <c:formatCode>General</c:formatCode>
                <c:ptCount val="13"/>
                <c:pt idx="0">
                  <c:v>1.97</c:v>
                </c:pt>
                <c:pt idx="1">
                  <c:v>1.87</c:v>
                </c:pt>
                <c:pt idx="2">
                  <c:v>1.77</c:v>
                </c:pt>
                <c:pt idx="3">
                  <c:v>1.69</c:v>
                </c:pt>
                <c:pt idx="4">
                  <c:v>1.63</c:v>
                </c:pt>
                <c:pt idx="5">
                  <c:v>1.57</c:v>
                </c:pt>
                <c:pt idx="6">
                  <c:v>1.52</c:v>
                </c:pt>
                <c:pt idx="7">
                  <c:v>1.5</c:v>
                </c:pt>
                <c:pt idx="8">
                  <c:v>1.49</c:v>
                </c:pt>
                <c:pt idx="9">
                  <c:v>1.61</c:v>
                </c:pt>
                <c:pt idx="10">
                  <c:v>1.88</c:v>
                </c:pt>
                <c:pt idx="11">
                  <c:v>2.2000000000000002</c:v>
                </c:pt>
                <c:pt idx="12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179-B880-0BC1009DE0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Summary!$AY$179:$AY$193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0.01</c:v>
                </c:pt>
                <c:pt idx="2">
                  <c:v>2.328465172115329E-2</c:v>
                </c:pt>
                <c:pt idx="3">
                  <c:v>4.2845190343574882E-2</c:v>
                </c:pt>
                <c:pt idx="4">
                  <c:v>7.5179272930657556E-2</c:v>
                </c:pt>
                <c:pt idx="5">
                  <c:v>0.11713952329564974</c:v>
                </c:pt>
                <c:pt idx="6">
                  <c:v>0.17823403562352408</c:v>
                </c:pt>
                <c:pt idx="7">
                  <c:v>0.3</c:v>
                </c:pt>
                <c:pt idx="8">
                  <c:v>0.55000000000000004</c:v>
                </c:pt>
                <c:pt idx="9">
                  <c:v>1.2308342792070741</c:v>
                </c:pt>
                <c:pt idx="10">
                  <c:v>2.3377035526039402</c:v>
                </c:pt>
                <c:pt idx="11">
                  <c:v>3.5569407024172444</c:v>
                </c:pt>
                <c:pt idx="12">
                  <c:v>5</c:v>
                </c:pt>
              </c:numCache>
            </c:numRef>
          </c:xVal>
          <c:yVal>
            <c:numRef>
              <c:f>Summary!$AZ$179:$AZ$193</c:f>
              <c:numCache>
                <c:formatCode>General</c:formatCode>
                <c:ptCount val="15"/>
                <c:pt idx="0">
                  <c:v>1.363</c:v>
                </c:pt>
                <c:pt idx="1">
                  <c:v>1.363</c:v>
                </c:pt>
                <c:pt idx="2">
                  <c:v>1.363</c:v>
                </c:pt>
                <c:pt idx="3">
                  <c:v>1.34</c:v>
                </c:pt>
                <c:pt idx="4">
                  <c:v>1.31</c:v>
                </c:pt>
                <c:pt idx="5">
                  <c:v>1.28</c:v>
                </c:pt>
                <c:pt idx="6">
                  <c:v>1.26</c:v>
                </c:pt>
                <c:pt idx="7">
                  <c:v>1.26</c:v>
                </c:pt>
                <c:pt idx="8">
                  <c:v>1.31</c:v>
                </c:pt>
                <c:pt idx="9">
                  <c:v>1.47</c:v>
                </c:pt>
                <c:pt idx="10">
                  <c:v>1.73</c:v>
                </c:pt>
                <c:pt idx="11">
                  <c:v>2.0499999999999998</c:v>
                </c:pt>
                <c:pt idx="1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6-4179-B880-0BC1009DE0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Summary!$BB$179:$BB$191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0.01</c:v>
                </c:pt>
                <c:pt idx="2">
                  <c:v>2.328465172115329E-2</c:v>
                </c:pt>
                <c:pt idx="3">
                  <c:v>4.2845190343574882E-2</c:v>
                </c:pt>
                <c:pt idx="4">
                  <c:v>7.5179272930657556E-2</c:v>
                </c:pt>
                <c:pt idx="5">
                  <c:v>0.11713952329564974</c:v>
                </c:pt>
                <c:pt idx="6">
                  <c:v>0.17823403562352408</c:v>
                </c:pt>
                <c:pt idx="7">
                  <c:v>0.3</c:v>
                </c:pt>
                <c:pt idx="8">
                  <c:v>0.55000000000000004</c:v>
                </c:pt>
                <c:pt idx="9">
                  <c:v>1.2308342792070741</c:v>
                </c:pt>
                <c:pt idx="10">
                  <c:v>2.3377035526039402</c:v>
                </c:pt>
                <c:pt idx="11">
                  <c:v>3.5569407024172444</c:v>
                </c:pt>
                <c:pt idx="12">
                  <c:v>5</c:v>
                </c:pt>
              </c:numCache>
            </c:numRef>
          </c:xVal>
          <c:yVal>
            <c:numRef>
              <c:f>Summary!$BC$179:$BC$191</c:f>
              <c:numCache>
                <c:formatCode>General</c:formatCode>
                <c:ptCount val="13"/>
                <c:pt idx="0">
                  <c:v>1.363</c:v>
                </c:pt>
                <c:pt idx="1">
                  <c:v>1.363</c:v>
                </c:pt>
                <c:pt idx="2">
                  <c:v>1.32</c:v>
                </c:pt>
                <c:pt idx="3">
                  <c:v>1.28</c:v>
                </c:pt>
                <c:pt idx="4">
                  <c:v>1.24</c:v>
                </c:pt>
                <c:pt idx="5">
                  <c:v>1.2</c:v>
                </c:pt>
                <c:pt idx="6">
                  <c:v>1.175</c:v>
                </c:pt>
                <c:pt idx="7">
                  <c:v>1.17</c:v>
                </c:pt>
                <c:pt idx="8">
                  <c:v>1.18</c:v>
                </c:pt>
                <c:pt idx="9">
                  <c:v>1.27</c:v>
                </c:pt>
                <c:pt idx="10">
                  <c:v>1.41</c:v>
                </c:pt>
                <c:pt idx="11">
                  <c:v>1.57</c:v>
                </c:pt>
                <c:pt idx="12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6-4179-B880-0BC1009D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05008"/>
        <c:axId val="723902832"/>
      </c:scatterChart>
      <c:valAx>
        <c:axId val="72390500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902832"/>
        <c:crosses val="autoZero"/>
        <c:crossBetween val="midCat"/>
      </c:valAx>
      <c:valAx>
        <c:axId val="72390283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905008"/>
        <c:crossesAt val="5.0000000000000012E-4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6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Summary!$Z$240:$Z$253</c:f>
              <c:numCache>
                <c:formatCode>General</c:formatCode>
                <c:ptCount val="14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0.125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3.0303030303030303</c:v>
                </c:pt>
              </c:numCache>
            </c:numRef>
          </c:xVal>
          <c:yVal>
            <c:numRef>
              <c:f>Summary!$BW$240:$BW$253</c:f>
              <c:numCache>
                <c:formatCode>General</c:formatCode>
                <c:ptCount val="14"/>
                <c:pt idx="0">
                  <c:v>2.159755192591776</c:v>
                </c:pt>
                <c:pt idx="1">
                  <c:v>2.1733963552369286</c:v>
                </c:pt>
                <c:pt idx="2">
                  <c:v>2.1159130400364887</c:v>
                </c:pt>
                <c:pt idx="3">
                  <c:v>2.0454853354119127</c:v>
                </c:pt>
                <c:pt idx="4">
                  <c:v>1.9650146532652839</c:v>
                </c:pt>
                <c:pt idx="5">
                  <c:v>1.8958843547830475</c:v>
                </c:pt>
                <c:pt idx="6">
                  <c:v>1.9039288054616206</c:v>
                </c:pt>
                <c:pt idx="7">
                  <c:v>1.8339191190287785</c:v>
                </c:pt>
                <c:pt idx="8">
                  <c:v>1.8262181551267247</c:v>
                </c:pt>
                <c:pt idx="9">
                  <c:v>1.6198257797942164</c:v>
                </c:pt>
                <c:pt idx="11">
                  <c:v>1.5152576959617476</c:v>
                </c:pt>
                <c:pt idx="12">
                  <c:v>1.6237729367951395</c:v>
                </c:pt>
                <c:pt idx="13">
                  <c:v>1.6380114708985369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B-4CB8-A02F-33DE665CC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Summary!$D$262:$D$272</c:f>
              <c:numCache>
                <c:formatCode>General</c:formatCode>
                <c:ptCount val="11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</c:numCache>
            </c:numRef>
          </c:xVal>
          <c:yVal>
            <c:numRef>
              <c:f>Summary!$X$262:$X$272</c:f>
              <c:numCache>
                <c:formatCode>General</c:formatCode>
                <c:ptCount val="11"/>
                <c:pt idx="0">
                  <c:v>1.5287337708128714</c:v>
                </c:pt>
                <c:pt idx="1">
                  <c:v>1.5309583868193786</c:v>
                </c:pt>
                <c:pt idx="2">
                  <c:v>1.4934256230685088</c:v>
                </c:pt>
                <c:pt idx="3">
                  <c:v>1.4769531308413495</c:v>
                </c:pt>
                <c:pt idx="4">
                  <c:v>1.5073661466238188</c:v>
                </c:pt>
                <c:pt idx="5">
                  <c:v>1.4232424748104262</c:v>
                </c:pt>
                <c:pt idx="6">
                  <c:v>1.3851199877478546</c:v>
                </c:pt>
                <c:pt idx="7">
                  <c:v>1.3004085592677936</c:v>
                </c:pt>
                <c:pt idx="8">
                  <c:v>1.3046444720661117</c:v>
                </c:pt>
                <c:pt idx="9">
                  <c:v>1.3425388900030992</c:v>
                </c:pt>
                <c:pt idx="10">
                  <c:v>1.2806539421559615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B-4CB8-A02F-33DE665CC0C9}"/>
            </c:ext>
          </c:extLst>
        </c:ser>
        <c:ser>
          <c:idx val="0"/>
          <c:order val="2"/>
          <c:tx>
            <c:v>Akinshin, L=30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Summary!$AI$199:$AI$213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1.241217083805064</c:v>
                </c:pt>
                <c:pt idx="11">
                  <c:v>2.777695517608568</c:v>
                </c:pt>
                <c:pt idx="12">
                  <c:v>5.2756319752069105</c:v>
                </c:pt>
                <c:pt idx="13">
                  <c:v>8.0271555744033964</c:v>
                </c:pt>
                <c:pt idx="14">
                  <c:v>11.283791670955127</c:v>
                </c:pt>
              </c:numCache>
            </c:numRef>
          </c:xVal>
          <c:yVal>
            <c:numRef>
              <c:f>Summary!$AJ$199:$AJ$213</c:f>
              <c:numCache>
                <c:formatCode>General</c:formatCode>
                <c:ptCount val="15"/>
                <c:pt idx="0">
                  <c:v>2.2003393758362497</c:v>
                </c:pt>
                <c:pt idx="1">
                  <c:v>2.1890555841652946</c:v>
                </c:pt>
                <c:pt idx="2">
                  <c:v>2.1439204174814739</c:v>
                </c:pt>
                <c:pt idx="3">
                  <c:v>2.0762176674557433</c:v>
                </c:pt>
                <c:pt idx="4">
                  <c:v>1.9746635424171473</c:v>
                </c:pt>
                <c:pt idx="5">
                  <c:v>1.8618256257075958</c:v>
                </c:pt>
                <c:pt idx="6">
                  <c:v>1.7489877089980448</c:v>
                </c:pt>
                <c:pt idx="7">
                  <c:v>1.6587173756304037</c:v>
                </c:pt>
                <c:pt idx="8">
                  <c:v>1.5910146256046727</c:v>
                </c:pt>
                <c:pt idx="9">
                  <c:v>1.5345956672498973</c:v>
                </c:pt>
                <c:pt idx="10">
                  <c:v>1.500744292237032</c:v>
                </c:pt>
                <c:pt idx="11">
                  <c:v>1.6361497922884933</c:v>
                </c:pt>
                <c:pt idx="12">
                  <c:v>1.9182445840623714</c:v>
                </c:pt>
                <c:pt idx="13">
                  <c:v>2.2229069591781601</c:v>
                </c:pt>
                <c:pt idx="14">
                  <c:v>2.6291234593325448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B-4CB8-A02F-33DE665CC0C9}"/>
            </c:ext>
          </c:extLst>
        </c:ser>
        <c:ser>
          <c:idx val="2"/>
          <c:order val="3"/>
          <c:tx>
            <c:v>Akinshin, L=10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Summary!$AK$199:$AK$213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0.9027033336764102</c:v>
                </c:pt>
                <c:pt idx="11">
                  <c:v>1.3540550005146152</c:v>
                </c:pt>
                <c:pt idx="12">
                  <c:v>2.777695517608568</c:v>
                </c:pt>
                <c:pt idx="13">
                  <c:v>5.2756319752069105</c:v>
                </c:pt>
                <c:pt idx="14">
                  <c:v>8.0271555744033964</c:v>
                </c:pt>
              </c:numCache>
            </c:numRef>
          </c:xVal>
          <c:yVal>
            <c:numRef>
              <c:f>Summary!$AL$199:$AL$213</c:f>
              <c:numCache>
                <c:formatCode>General</c:formatCode>
                <c:ptCount val="15"/>
                <c:pt idx="0">
                  <c:v>1.4781767088951216</c:v>
                </c:pt>
                <c:pt idx="1">
                  <c:v>1.4781767088951216</c:v>
                </c:pt>
                <c:pt idx="2">
                  <c:v>1.4668929172241665</c:v>
                </c:pt>
                <c:pt idx="3">
                  <c:v>1.4443253338822561</c:v>
                </c:pt>
                <c:pt idx="4">
                  <c:v>1.4104739588693909</c:v>
                </c:pt>
                <c:pt idx="5">
                  <c:v>1.3766225838565254</c:v>
                </c:pt>
                <c:pt idx="6">
                  <c:v>1.3540550005146152</c:v>
                </c:pt>
                <c:pt idx="7">
                  <c:v>1.3089198338307946</c:v>
                </c:pt>
                <c:pt idx="8">
                  <c:v>1.2863522504888842</c:v>
                </c:pt>
                <c:pt idx="9">
                  <c:v>1.2750684588179293</c:v>
                </c:pt>
                <c:pt idx="10">
                  <c:v>1.2637846671469743</c:v>
                </c:pt>
                <c:pt idx="11">
                  <c:v>1.2750684588179293</c:v>
                </c:pt>
                <c:pt idx="12">
                  <c:v>1.3540550005146152</c:v>
                </c:pt>
                <c:pt idx="13">
                  <c:v>1.5345956672498973</c:v>
                </c:pt>
                <c:pt idx="14">
                  <c:v>1.7489877089980448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B-4CB8-A02F-33DE665CC0C9}"/>
            </c:ext>
          </c:extLst>
        </c:ser>
        <c:ser>
          <c:idx val="3"/>
          <c:order val="4"/>
          <c:tx>
            <c:v>Free-molecular L=30</c:v>
          </c:tx>
          <c:spPr>
            <a:ln w="2222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Summary!$G$539:$G$540</c:f>
              <c:numCache>
                <c:formatCode>General</c:formatCode>
                <c:ptCount val="2"/>
                <c:pt idx="0">
                  <c:v>2.2133359625903704</c:v>
                </c:pt>
                <c:pt idx="1">
                  <c:v>2.2133359625903704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B-4CB8-A02F-33DE665CC0C9}"/>
            </c:ext>
          </c:extLst>
        </c:ser>
        <c:ser>
          <c:idx val="4"/>
          <c:order val="5"/>
          <c:tx>
            <c:v>Free-molecular L=10</c:v>
          </c:tx>
          <c:spPr>
            <a:ln w="12700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Summary!$H$539:$H$540</c:f>
              <c:numCache>
                <c:formatCode>General</c:formatCode>
                <c:ptCount val="2"/>
                <c:pt idx="0">
                  <c:v>1.525831171817448</c:v>
                </c:pt>
                <c:pt idx="1">
                  <c:v>1.525831171817448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EB-4CB8-A02F-33DE665CC0C9}"/>
            </c:ext>
          </c:extLst>
        </c:ser>
        <c:ser>
          <c:idx val="5"/>
          <c:order val="6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Summary!$D$262:$D$273</c:f>
              <c:numCache>
                <c:formatCode>General</c:formatCode>
                <c:ptCount val="12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  <c:pt idx="11">
                  <c:v>4</c:v>
                </c:pt>
              </c:numCache>
            </c:numRef>
          </c:xVal>
          <c:yVal>
            <c:numRef>
              <c:f>Summary!$AN$262:$AN$273</c:f>
              <c:numCache>
                <c:formatCode>General</c:formatCode>
                <c:ptCount val="12"/>
                <c:pt idx="0">
                  <c:v>1.4908909009354778</c:v>
                </c:pt>
                <c:pt idx="1">
                  <c:v>1.5019632058205319</c:v>
                </c:pt>
                <c:pt idx="2">
                  <c:v>1.4802561035382891</c:v>
                </c:pt>
                <c:pt idx="3">
                  <c:v>1.5099056494462801</c:v>
                </c:pt>
                <c:pt idx="4">
                  <c:v>1.46931841634181</c:v>
                </c:pt>
                <c:pt idx="5">
                  <c:v>1.4383226935480946</c:v>
                </c:pt>
                <c:pt idx="6">
                  <c:v>1.4126511003374058</c:v>
                </c:pt>
                <c:pt idx="7">
                  <c:v>1.2910240187125561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EB-4CB8-A02F-33DE665CC0C9}"/>
            </c:ext>
          </c:extLst>
        </c:ser>
        <c:ser>
          <c:idx val="7"/>
          <c:order val="7"/>
          <c:tx>
            <c:v>Titarev 2012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Summary!$E$547:$E$555</c:f>
              <c:numCache>
                <c:formatCode>General</c:formatCode>
                <c:ptCount val="9"/>
                <c:pt idx="0">
                  <c:v>2.2567583341910252E-2</c:v>
                </c:pt>
                <c:pt idx="1">
                  <c:v>0.22567583341910255</c:v>
                </c:pt>
                <c:pt idx="2">
                  <c:v>2.2567583341910251</c:v>
                </c:pt>
                <c:pt idx="3">
                  <c:v>4.5135166683820502</c:v>
                </c:pt>
                <c:pt idx="4">
                  <c:v>11.283791670955127</c:v>
                </c:pt>
                <c:pt idx="5">
                  <c:v>22.567583341910254</c:v>
                </c:pt>
                <c:pt idx="6">
                  <c:v>67.702750025730765</c:v>
                </c:pt>
                <c:pt idx="7">
                  <c:v>112.83791670955127</c:v>
                </c:pt>
                <c:pt idx="8">
                  <c:v>225.67583341910253</c:v>
                </c:pt>
              </c:numCache>
            </c:numRef>
          </c:xVal>
          <c:yVal>
            <c:numRef>
              <c:f>Summary!$F$547:$F$555</c:f>
              <c:numCache>
                <c:formatCode>General</c:formatCode>
                <c:ptCount val="9"/>
                <c:pt idx="0">
                  <c:v>1.5176699797434645</c:v>
                </c:pt>
                <c:pt idx="1">
                  <c:v>1.4556091255532113</c:v>
                </c:pt>
                <c:pt idx="2">
                  <c:v>1.562805146427285</c:v>
                </c:pt>
                <c:pt idx="3">
                  <c:v>1.8618256257075958</c:v>
                </c:pt>
                <c:pt idx="4">
                  <c:v>2.8209479177387817</c:v>
                </c:pt>
                <c:pt idx="5">
                  <c:v>4.5078747725465735</c:v>
                </c:pt>
                <c:pt idx="6">
                  <c:v>11.114534795890799</c:v>
                </c:pt>
                <c:pt idx="7">
                  <c:v>16.982106464787467</c:v>
                </c:pt>
                <c:pt idx="8">
                  <c:v>26.968262093582752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EB-4CB8-A02F-33DE665CC0C9}"/>
            </c:ext>
          </c:extLst>
        </c:ser>
        <c:ser>
          <c:idx val="8"/>
          <c:order val="8"/>
          <c:tx>
            <c:v>Akinshin 1990, L=30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Summary!$AW$199:$AW$211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0.5790115373344783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Summary!$AX$199:$AX$211</c:f>
              <c:numCache>
                <c:formatCode>General</c:formatCode>
                <c:ptCount val="13"/>
                <c:pt idx="0">
                  <c:v>2.2229069591781601</c:v>
                </c:pt>
                <c:pt idx="1">
                  <c:v>2.1100690424686088</c:v>
                </c:pt>
                <c:pt idx="2">
                  <c:v>1.9972311257590574</c:v>
                </c:pt>
                <c:pt idx="3">
                  <c:v>1.9069607923914162</c:v>
                </c:pt>
                <c:pt idx="4">
                  <c:v>1.8392580423656855</c:v>
                </c:pt>
                <c:pt idx="5">
                  <c:v>1.7715552923399549</c:v>
                </c:pt>
                <c:pt idx="6">
                  <c:v>1.7151363339851793</c:v>
                </c:pt>
                <c:pt idx="7">
                  <c:v>1.6925687506432689</c:v>
                </c:pt>
                <c:pt idx="8">
                  <c:v>1.6812849589723138</c:v>
                </c:pt>
                <c:pt idx="9">
                  <c:v>1.8166904590237756</c:v>
                </c:pt>
                <c:pt idx="10">
                  <c:v>2.1213528341395635</c:v>
                </c:pt>
                <c:pt idx="11">
                  <c:v>2.482434167610128</c:v>
                </c:pt>
                <c:pt idx="12">
                  <c:v>3.0466237511578842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EB-4CB8-A02F-33DE665CC0C9}"/>
            </c:ext>
          </c:extLst>
        </c:ser>
        <c:ser>
          <c:idx val="9"/>
          <c:order val="9"/>
          <c:tx>
            <c:v>Akinshin 1990, L=10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Summary!$AY$199:$AY$211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0.67702750025730762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Summary!$AZ$199:$AZ$211</c:f>
              <c:numCache>
                <c:formatCode>General</c:formatCode>
                <c:ptCount val="13"/>
                <c:pt idx="0">
                  <c:v>1.5379808047511838</c:v>
                </c:pt>
                <c:pt idx="1">
                  <c:v>1.5379808047511838</c:v>
                </c:pt>
                <c:pt idx="2">
                  <c:v>1.5379808047511838</c:v>
                </c:pt>
                <c:pt idx="3">
                  <c:v>1.5120280839079872</c:v>
                </c:pt>
                <c:pt idx="4">
                  <c:v>1.4781767088951216</c:v>
                </c:pt>
                <c:pt idx="5">
                  <c:v>1.4443253338822561</c:v>
                </c:pt>
                <c:pt idx="6">
                  <c:v>1.421757750540346</c:v>
                </c:pt>
                <c:pt idx="7">
                  <c:v>1.421757750540346</c:v>
                </c:pt>
                <c:pt idx="8">
                  <c:v>1.4781767088951216</c:v>
                </c:pt>
                <c:pt idx="9">
                  <c:v>1.6587173756304037</c:v>
                </c:pt>
                <c:pt idx="10">
                  <c:v>1.9520959590752369</c:v>
                </c:pt>
                <c:pt idx="11">
                  <c:v>2.313177292545801</c:v>
                </c:pt>
                <c:pt idx="12">
                  <c:v>2.8209479177387817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EB-4CB8-A02F-33DE665C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05552"/>
        <c:axId val="723909360"/>
      </c:scatterChart>
      <c:valAx>
        <c:axId val="723905552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909360"/>
        <c:crossesAt val="0"/>
        <c:crossBetween val="midCat"/>
      </c:valAx>
      <c:valAx>
        <c:axId val="723909360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905552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84832688628214"/>
          <c:y val="0.67270702831980556"/>
          <c:w val="0.7769367543990563"/>
          <c:h val="0.1396597934244219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2"/>
          <c:order val="0"/>
          <c:tx>
            <c:v>Akinshin, L=10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Summary!$AK$199:$AK$213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0.9027033336764102</c:v>
                </c:pt>
                <c:pt idx="11">
                  <c:v>1.3540550005146152</c:v>
                </c:pt>
                <c:pt idx="12">
                  <c:v>2.777695517608568</c:v>
                </c:pt>
                <c:pt idx="13">
                  <c:v>5.2756319752069105</c:v>
                </c:pt>
                <c:pt idx="14">
                  <c:v>8.0271555744033964</c:v>
                </c:pt>
              </c:numCache>
            </c:numRef>
          </c:xVal>
          <c:yVal>
            <c:numRef>
              <c:f>Summary!$AL$199:$AL$213</c:f>
              <c:numCache>
                <c:formatCode>General</c:formatCode>
                <c:ptCount val="15"/>
                <c:pt idx="0">
                  <c:v>1.4781767088951216</c:v>
                </c:pt>
                <c:pt idx="1">
                  <c:v>1.4781767088951216</c:v>
                </c:pt>
                <c:pt idx="2">
                  <c:v>1.4668929172241665</c:v>
                </c:pt>
                <c:pt idx="3">
                  <c:v>1.4443253338822561</c:v>
                </c:pt>
                <c:pt idx="4">
                  <c:v>1.4104739588693909</c:v>
                </c:pt>
                <c:pt idx="5">
                  <c:v>1.3766225838565254</c:v>
                </c:pt>
                <c:pt idx="6">
                  <c:v>1.3540550005146152</c:v>
                </c:pt>
                <c:pt idx="7">
                  <c:v>1.3089198338307946</c:v>
                </c:pt>
                <c:pt idx="8">
                  <c:v>1.2863522504888842</c:v>
                </c:pt>
                <c:pt idx="9">
                  <c:v>1.2750684588179293</c:v>
                </c:pt>
                <c:pt idx="10">
                  <c:v>1.2637846671469743</c:v>
                </c:pt>
                <c:pt idx="11">
                  <c:v>1.2750684588179293</c:v>
                </c:pt>
                <c:pt idx="12">
                  <c:v>1.3540550005146152</c:v>
                </c:pt>
                <c:pt idx="13">
                  <c:v>1.5345956672498973</c:v>
                </c:pt>
                <c:pt idx="14">
                  <c:v>1.7489877089980448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C-4887-AE2F-78DEC8EA866A}"/>
            </c:ext>
          </c:extLst>
        </c:ser>
        <c:ser>
          <c:idx val="4"/>
          <c:order val="1"/>
          <c:tx>
            <c:v>Free-molecular L=10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Summary!$H$539:$H$540</c:f>
              <c:numCache>
                <c:formatCode>General</c:formatCode>
                <c:ptCount val="2"/>
                <c:pt idx="0">
                  <c:v>1.525831171817448</c:v>
                </c:pt>
                <c:pt idx="1">
                  <c:v>1.525831171817448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C-4887-AE2F-78DEC8EA866A}"/>
            </c:ext>
          </c:extLst>
        </c:ser>
        <c:ser>
          <c:idx val="1"/>
          <c:order val="2"/>
          <c:tx>
            <c:v>EDMD CS RealPressure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Summary!$AT$262:$AT$286</c:f>
              <c:numCache>
                <c:formatCode>General</c:formatCode>
                <c:ptCount val="25"/>
                <c:pt idx="0">
                  <c:v>0.01</c:v>
                </c:pt>
                <c:pt idx="1">
                  <c:v>1.5263833795432729E-2</c:v>
                </c:pt>
                <c:pt idx="2">
                  <c:v>2.4861325222164086E-2</c:v>
                </c:pt>
                <c:pt idx="3">
                  <c:v>3.968714814397508E-2</c:v>
                </c:pt>
                <c:pt idx="4">
                  <c:v>6.6530333178171544E-2</c:v>
                </c:pt>
                <c:pt idx="5">
                  <c:v>9.9976078744302421E-2</c:v>
                </c:pt>
                <c:pt idx="6">
                  <c:v>0.24983723231886421</c:v>
                </c:pt>
                <c:pt idx="7">
                  <c:v>0.5</c:v>
                </c:pt>
                <c:pt idx="17">
                  <c:v>0.24832092706301992</c:v>
                </c:pt>
                <c:pt idx="18">
                  <c:v>0.38157581658478351</c:v>
                </c:pt>
                <c:pt idx="19">
                  <c:v>0.6243847057662828</c:v>
                </c:pt>
                <c:pt idx="20">
                  <c:v>0.98975461890049388</c:v>
                </c:pt>
                <c:pt idx="21">
                  <c:v>1.651432461376195</c:v>
                </c:pt>
                <c:pt idx="22">
                  <c:v>2.4727018223246229</c:v>
                </c:pt>
                <c:pt idx="23">
                  <c:v>6.0857324246411437</c:v>
                </c:pt>
                <c:pt idx="24">
                  <c:v>11.85067962161777</c:v>
                </c:pt>
              </c:numCache>
            </c:numRef>
          </c:xVal>
          <c:yVal>
            <c:numRef>
              <c:f>Summary!$AR$262:$AR$286</c:f>
              <c:numCache>
                <c:formatCode>General</c:formatCode>
                <c:ptCount val="25"/>
                <c:pt idx="0">
                  <c:v>1.5355046421908625</c:v>
                </c:pt>
                <c:pt idx="1">
                  <c:v>1.5433583179302139</c:v>
                </c:pt>
                <c:pt idx="2">
                  <c:v>1.5495678662770533</c:v>
                </c:pt>
                <c:pt idx="3">
                  <c:v>1.5287749789360394</c:v>
                </c:pt>
                <c:pt idx="4">
                  <c:v>1.6285719867707729</c:v>
                </c:pt>
                <c:pt idx="5">
                  <c:v>1.490630698033325</c:v>
                </c:pt>
                <c:pt idx="6">
                  <c:v>1.4595518273200141</c:v>
                </c:pt>
                <c:pt idx="7">
                  <c:v>1.3562188113546112</c:v>
                </c:pt>
                <c:pt idx="17">
                  <c:v>1.4056251136457256</c:v>
                </c:pt>
                <c:pt idx="18">
                  <c:v>1.4227886566271877</c:v>
                </c:pt>
                <c:pt idx="19">
                  <c:v>1.3714700718928843</c:v>
                </c:pt>
                <c:pt idx="20">
                  <c:v>1.4054905395797832</c:v>
                </c:pt>
                <c:pt idx="21">
                  <c:v>1.4726243746613297</c:v>
                </c:pt>
                <c:pt idx="22">
                  <c:v>1.5618938893719538</c:v>
                </c:pt>
                <c:pt idx="23">
                  <c:v>2.0964487856748204</c:v>
                </c:pt>
                <c:pt idx="24">
                  <c:v>2.9254444683150811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C-4887-AE2F-78DEC8EA866A}"/>
            </c:ext>
          </c:extLst>
        </c:ser>
        <c:ser>
          <c:idx val="5"/>
          <c:order val="3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Summary!$D$262:$D$273</c:f>
              <c:numCache>
                <c:formatCode>General</c:formatCode>
                <c:ptCount val="12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  <c:pt idx="11">
                  <c:v>4</c:v>
                </c:pt>
              </c:numCache>
            </c:numRef>
          </c:xVal>
          <c:yVal>
            <c:numRef>
              <c:f>Summary!$AN$262:$AN$273</c:f>
              <c:numCache>
                <c:formatCode>General</c:formatCode>
                <c:ptCount val="12"/>
                <c:pt idx="0">
                  <c:v>1.4908909009354778</c:v>
                </c:pt>
                <c:pt idx="1">
                  <c:v>1.5019632058205319</c:v>
                </c:pt>
                <c:pt idx="2">
                  <c:v>1.4802561035382891</c:v>
                </c:pt>
                <c:pt idx="3">
                  <c:v>1.5099056494462801</c:v>
                </c:pt>
                <c:pt idx="4">
                  <c:v>1.46931841634181</c:v>
                </c:pt>
                <c:pt idx="5">
                  <c:v>1.4383226935480946</c:v>
                </c:pt>
                <c:pt idx="6">
                  <c:v>1.4126511003374058</c:v>
                </c:pt>
                <c:pt idx="7">
                  <c:v>1.2910240187125561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C-4887-AE2F-78DEC8EA866A}"/>
            </c:ext>
          </c:extLst>
        </c:ser>
        <c:ser>
          <c:idx val="7"/>
          <c:order val="4"/>
          <c:tx>
            <c:v>Titarev 2012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Summary!$E$547:$E$555</c:f>
              <c:numCache>
                <c:formatCode>General</c:formatCode>
                <c:ptCount val="9"/>
                <c:pt idx="0">
                  <c:v>2.2567583341910252E-2</c:v>
                </c:pt>
                <c:pt idx="1">
                  <c:v>0.22567583341910255</c:v>
                </c:pt>
                <c:pt idx="2">
                  <c:v>2.2567583341910251</c:v>
                </c:pt>
                <c:pt idx="3">
                  <c:v>4.5135166683820502</c:v>
                </c:pt>
                <c:pt idx="4">
                  <c:v>11.283791670955127</c:v>
                </c:pt>
                <c:pt idx="5">
                  <c:v>22.567583341910254</c:v>
                </c:pt>
                <c:pt idx="6">
                  <c:v>67.702750025730765</c:v>
                </c:pt>
                <c:pt idx="7">
                  <c:v>112.83791670955127</c:v>
                </c:pt>
                <c:pt idx="8">
                  <c:v>225.67583341910253</c:v>
                </c:pt>
              </c:numCache>
            </c:numRef>
          </c:xVal>
          <c:yVal>
            <c:numRef>
              <c:f>Summary!$F$547:$F$555</c:f>
              <c:numCache>
                <c:formatCode>General</c:formatCode>
                <c:ptCount val="9"/>
                <c:pt idx="0">
                  <c:v>1.5176699797434645</c:v>
                </c:pt>
                <c:pt idx="1">
                  <c:v>1.4556091255532113</c:v>
                </c:pt>
                <c:pt idx="2">
                  <c:v>1.562805146427285</c:v>
                </c:pt>
                <c:pt idx="3">
                  <c:v>1.8618256257075958</c:v>
                </c:pt>
                <c:pt idx="4">
                  <c:v>2.8209479177387817</c:v>
                </c:pt>
                <c:pt idx="5">
                  <c:v>4.5078747725465735</c:v>
                </c:pt>
                <c:pt idx="6">
                  <c:v>11.114534795890799</c:v>
                </c:pt>
                <c:pt idx="7">
                  <c:v>16.982106464787467</c:v>
                </c:pt>
                <c:pt idx="8">
                  <c:v>26.968262093582752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C-4887-AE2F-78DEC8EA866A}"/>
            </c:ext>
          </c:extLst>
        </c:ser>
        <c:ser>
          <c:idx val="9"/>
          <c:order val="5"/>
          <c:tx>
            <c:v>Akinshin 1990, L=10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Summary!$AY$199:$AY$211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0.67702750025730762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Summary!$AZ$199:$AZ$211</c:f>
              <c:numCache>
                <c:formatCode>General</c:formatCode>
                <c:ptCount val="13"/>
                <c:pt idx="0">
                  <c:v>1.5379808047511838</c:v>
                </c:pt>
                <c:pt idx="1">
                  <c:v>1.5379808047511838</c:v>
                </c:pt>
                <c:pt idx="2">
                  <c:v>1.5379808047511838</c:v>
                </c:pt>
                <c:pt idx="3">
                  <c:v>1.5120280839079872</c:v>
                </c:pt>
                <c:pt idx="4">
                  <c:v>1.4781767088951216</c:v>
                </c:pt>
                <c:pt idx="5">
                  <c:v>1.4443253338822561</c:v>
                </c:pt>
                <c:pt idx="6">
                  <c:v>1.421757750540346</c:v>
                </c:pt>
                <c:pt idx="7">
                  <c:v>1.421757750540346</c:v>
                </c:pt>
                <c:pt idx="8">
                  <c:v>1.4781767088951216</c:v>
                </c:pt>
                <c:pt idx="9">
                  <c:v>1.6587173756304037</c:v>
                </c:pt>
                <c:pt idx="10">
                  <c:v>1.9520959590752369</c:v>
                </c:pt>
                <c:pt idx="11">
                  <c:v>2.313177292545801</c:v>
                </c:pt>
                <c:pt idx="12">
                  <c:v>2.8209479177387817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4C-4887-AE2F-78DEC8EA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95216"/>
        <c:axId val="724788896"/>
      </c:scatterChart>
      <c:valAx>
        <c:axId val="723895216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88896"/>
        <c:crossesAt val="0"/>
        <c:crossBetween val="midCat"/>
      </c:valAx>
      <c:valAx>
        <c:axId val="724788896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3895216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890529128212164E-2"/>
          <c:y val="7.4469653369424141E-2"/>
          <c:w val="0.61118275210888595"/>
          <c:h val="0.16969025080426431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2"/>
          <c:order val="0"/>
          <c:tx>
            <c:v>Akinshin, L=10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Summary!$AK$199:$AK$213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0.9027033336764102</c:v>
                </c:pt>
                <c:pt idx="11">
                  <c:v>1.3540550005146152</c:v>
                </c:pt>
                <c:pt idx="12">
                  <c:v>2.777695517608568</c:v>
                </c:pt>
                <c:pt idx="13">
                  <c:v>5.2756319752069105</c:v>
                </c:pt>
                <c:pt idx="14">
                  <c:v>8.0271555744033964</c:v>
                </c:pt>
              </c:numCache>
            </c:numRef>
          </c:xVal>
          <c:yVal>
            <c:numRef>
              <c:f>Summary!$AL$199:$AL$213</c:f>
              <c:numCache>
                <c:formatCode>General</c:formatCode>
                <c:ptCount val="15"/>
                <c:pt idx="0">
                  <c:v>1.4781767088951216</c:v>
                </c:pt>
                <c:pt idx="1">
                  <c:v>1.4781767088951216</c:v>
                </c:pt>
                <c:pt idx="2">
                  <c:v>1.4668929172241665</c:v>
                </c:pt>
                <c:pt idx="3">
                  <c:v>1.4443253338822561</c:v>
                </c:pt>
                <c:pt idx="4">
                  <c:v>1.4104739588693909</c:v>
                </c:pt>
                <c:pt idx="5">
                  <c:v>1.3766225838565254</c:v>
                </c:pt>
                <c:pt idx="6">
                  <c:v>1.3540550005146152</c:v>
                </c:pt>
                <c:pt idx="7">
                  <c:v>1.3089198338307946</c:v>
                </c:pt>
                <c:pt idx="8">
                  <c:v>1.2863522504888842</c:v>
                </c:pt>
                <c:pt idx="9">
                  <c:v>1.2750684588179293</c:v>
                </c:pt>
                <c:pt idx="10">
                  <c:v>1.2637846671469743</c:v>
                </c:pt>
                <c:pt idx="11">
                  <c:v>1.2750684588179293</c:v>
                </c:pt>
                <c:pt idx="12">
                  <c:v>1.3540550005146152</c:v>
                </c:pt>
                <c:pt idx="13">
                  <c:v>1.5345956672498973</c:v>
                </c:pt>
                <c:pt idx="14">
                  <c:v>1.7489877089980448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8-4C2D-9356-0395ABEC3A70}"/>
            </c:ext>
          </c:extLst>
        </c:ser>
        <c:ser>
          <c:idx val="4"/>
          <c:order val="1"/>
          <c:tx>
            <c:v>Free-molecular L=10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Summary!$H$539:$H$540</c:f>
              <c:numCache>
                <c:formatCode>General</c:formatCode>
                <c:ptCount val="2"/>
                <c:pt idx="0">
                  <c:v>1.525831171817448</c:v>
                </c:pt>
                <c:pt idx="1">
                  <c:v>1.525831171817448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8-4C2D-9356-0395ABEC3A70}"/>
            </c:ext>
          </c:extLst>
        </c:ser>
        <c:ser>
          <c:idx val="7"/>
          <c:order val="2"/>
          <c:tx>
            <c:v>Titarev 2012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Summary!$E$547:$E$555</c:f>
              <c:numCache>
                <c:formatCode>General</c:formatCode>
                <c:ptCount val="9"/>
                <c:pt idx="0">
                  <c:v>2.2567583341910252E-2</c:v>
                </c:pt>
                <c:pt idx="1">
                  <c:v>0.22567583341910255</c:v>
                </c:pt>
                <c:pt idx="2">
                  <c:v>2.2567583341910251</c:v>
                </c:pt>
                <c:pt idx="3">
                  <c:v>4.5135166683820502</c:v>
                </c:pt>
                <c:pt idx="4">
                  <c:v>11.283791670955127</c:v>
                </c:pt>
                <c:pt idx="5">
                  <c:v>22.567583341910254</c:v>
                </c:pt>
                <c:pt idx="6">
                  <c:v>67.702750025730765</c:v>
                </c:pt>
                <c:pt idx="7">
                  <c:v>112.83791670955127</c:v>
                </c:pt>
                <c:pt idx="8">
                  <c:v>225.67583341910253</c:v>
                </c:pt>
              </c:numCache>
            </c:numRef>
          </c:xVal>
          <c:yVal>
            <c:numRef>
              <c:f>Summary!$F$547:$F$555</c:f>
              <c:numCache>
                <c:formatCode>General</c:formatCode>
                <c:ptCount val="9"/>
                <c:pt idx="0">
                  <c:v>1.5176699797434645</c:v>
                </c:pt>
                <c:pt idx="1">
                  <c:v>1.4556091255532113</c:v>
                </c:pt>
                <c:pt idx="2">
                  <c:v>1.562805146427285</c:v>
                </c:pt>
                <c:pt idx="3">
                  <c:v>1.8618256257075958</c:v>
                </c:pt>
                <c:pt idx="4">
                  <c:v>2.8209479177387817</c:v>
                </c:pt>
                <c:pt idx="5">
                  <c:v>4.5078747725465735</c:v>
                </c:pt>
                <c:pt idx="6">
                  <c:v>11.114534795890799</c:v>
                </c:pt>
                <c:pt idx="7">
                  <c:v>16.982106464787467</c:v>
                </c:pt>
                <c:pt idx="8">
                  <c:v>26.968262093582752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98-4C2D-9356-0395ABEC3A70}"/>
            </c:ext>
          </c:extLst>
        </c:ser>
        <c:ser>
          <c:idx val="9"/>
          <c:order val="3"/>
          <c:tx>
            <c:v>Akinshin 1990, L=10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Summary!$AY$199:$AY$211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0.67702750025730762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Summary!$AZ$199:$AZ$211</c:f>
              <c:numCache>
                <c:formatCode>General</c:formatCode>
                <c:ptCount val="13"/>
                <c:pt idx="0">
                  <c:v>1.5379808047511838</c:v>
                </c:pt>
                <c:pt idx="1">
                  <c:v>1.5379808047511838</c:v>
                </c:pt>
                <c:pt idx="2">
                  <c:v>1.5379808047511838</c:v>
                </c:pt>
                <c:pt idx="3">
                  <c:v>1.5120280839079872</c:v>
                </c:pt>
                <c:pt idx="4">
                  <c:v>1.4781767088951216</c:v>
                </c:pt>
                <c:pt idx="5">
                  <c:v>1.4443253338822561</c:v>
                </c:pt>
                <c:pt idx="6">
                  <c:v>1.421757750540346</c:v>
                </c:pt>
                <c:pt idx="7">
                  <c:v>1.421757750540346</c:v>
                </c:pt>
                <c:pt idx="8">
                  <c:v>1.4781767088951216</c:v>
                </c:pt>
                <c:pt idx="9">
                  <c:v>1.6587173756304037</c:v>
                </c:pt>
                <c:pt idx="10">
                  <c:v>1.9520959590752369</c:v>
                </c:pt>
                <c:pt idx="11">
                  <c:v>2.313177292545801</c:v>
                </c:pt>
                <c:pt idx="12">
                  <c:v>2.8209479177387817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8-4C2D-9356-0395ABEC3A70}"/>
            </c:ext>
          </c:extLst>
        </c:ser>
        <c:ser>
          <c:idx val="0"/>
          <c:order val="4"/>
          <c:tx>
            <c:v>EDMD, Statement 2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Summary!$BA$262:$BA$286</c:f>
              <c:numCache>
                <c:formatCode>General</c:formatCode>
                <c:ptCount val="25"/>
                <c:pt idx="0">
                  <c:v>0.01</c:v>
                </c:pt>
                <c:pt idx="1">
                  <c:v>1.5263833795432729E-2</c:v>
                </c:pt>
                <c:pt idx="2">
                  <c:v>2.4861325222164086E-2</c:v>
                </c:pt>
                <c:pt idx="3">
                  <c:v>3.968714814397508E-2</c:v>
                </c:pt>
                <c:pt idx="5">
                  <c:v>9.9976078744302421E-2</c:v>
                </c:pt>
                <c:pt idx="17">
                  <c:v>0.24832092706301992</c:v>
                </c:pt>
                <c:pt idx="18">
                  <c:v>0.38157581658478351</c:v>
                </c:pt>
                <c:pt idx="19">
                  <c:v>0.6243847057662828</c:v>
                </c:pt>
                <c:pt idx="20">
                  <c:v>0.98975461890049388</c:v>
                </c:pt>
                <c:pt idx="21">
                  <c:v>1.651432461376195</c:v>
                </c:pt>
                <c:pt idx="22">
                  <c:v>2.4727018223246229</c:v>
                </c:pt>
                <c:pt idx="23">
                  <c:v>6.0857324246411437</c:v>
                </c:pt>
                <c:pt idx="24">
                  <c:v>11.85067962161777</c:v>
                </c:pt>
              </c:numCache>
            </c:numRef>
          </c:xVal>
          <c:yVal>
            <c:numRef>
              <c:f>Summary!$BB$262:$BB$286</c:f>
              <c:numCache>
                <c:formatCode>General</c:formatCode>
                <c:ptCount val="25"/>
                <c:pt idx="0">
                  <c:v>1.5355046421908625</c:v>
                </c:pt>
                <c:pt idx="1">
                  <c:v>1.5433583179302139</c:v>
                </c:pt>
                <c:pt idx="2">
                  <c:v>1.5495678662770533</c:v>
                </c:pt>
                <c:pt idx="3">
                  <c:v>1.5287749789360394</c:v>
                </c:pt>
                <c:pt idx="5">
                  <c:v>1.490630698033325</c:v>
                </c:pt>
                <c:pt idx="17">
                  <c:v>1.4056251136457256</c:v>
                </c:pt>
                <c:pt idx="18">
                  <c:v>1.4227886566271877</c:v>
                </c:pt>
                <c:pt idx="19">
                  <c:v>1.3714700718928843</c:v>
                </c:pt>
                <c:pt idx="20">
                  <c:v>1.4054905395797832</c:v>
                </c:pt>
                <c:pt idx="21">
                  <c:v>1.4726243746613297</c:v>
                </c:pt>
                <c:pt idx="22">
                  <c:v>1.5618938893719538</c:v>
                </c:pt>
                <c:pt idx="23">
                  <c:v>2.0964487856748204</c:v>
                </c:pt>
                <c:pt idx="24">
                  <c:v>2.9254444683150811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98-4C2D-9356-0395ABEC3A70}"/>
            </c:ext>
          </c:extLst>
        </c:ser>
        <c:ser>
          <c:idx val="1"/>
          <c:order val="5"/>
          <c:tx>
            <c:v>EDMD, Statement 1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Summary!$D$262:$D$272</c:f>
              <c:numCache>
                <c:formatCode>General</c:formatCode>
                <c:ptCount val="11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</c:numCache>
            </c:numRef>
          </c:xVal>
          <c:yVal>
            <c:numRef>
              <c:f>Summary!$X$262:$X$272</c:f>
              <c:numCache>
                <c:formatCode>General</c:formatCode>
                <c:ptCount val="11"/>
                <c:pt idx="0">
                  <c:v>1.5287337708128714</c:v>
                </c:pt>
                <c:pt idx="1">
                  <c:v>1.5309583868193786</c:v>
                </c:pt>
                <c:pt idx="2">
                  <c:v>1.4934256230685088</c:v>
                </c:pt>
                <c:pt idx="3">
                  <c:v>1.4769531308413495</c:v>
                </c:pt>
                <c:pt idx="4">
                  <c:v>1.5073661466238188</c:v>
                </c:pt>
                <c:pt idx="5">
                  <c:v>1.4232424748104262</c:v>
                </c:pt>
                <c:pt idx="6">
                  <c:v>1.3851199877478546</c:v>
                </c:pt>
                <c:pt idx="7">
                  <c:v>1.3004085592677936</c:v>
                </c:pt>
                <c:pt idx="8">
                  <c:v>1.3046444720661117</c:v>
                </c:pt>
                <c:pt idx="9">
                  <c:v>1.3425388900030992</c:v>
                </c:pt>
                <c:pt idx="10">
                  <c:v>1.2806539421559615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98-4C2D-9356-0395ABEC3A70}"/>
            </c:ext>
          </c:extLst>
        </c:ser>
        <c:ser>
          <c:idx val="3"/>
          <c:order val="6"/>
          <c:tx>
            <c:v>EDMD, S2, new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Summary!$BR$262:$BR$286</c:f>
              <c:numCache>
                <c:formatCode>General</c:formatCode>
                <c:ptCount val="25"/>
                <c:pt idx="0">
                  <c:v>0.01</c:v>
                </c:pt>
                <c:pt idx="1">
                  <c:v>1.5263833795432729E-2</c:v>
                </c:pt>
                <c:pt idx="2">
                  <c:v>2.4861325222164086E-2</c:v>
                </c:pt>
                <c:pt idx="3">
                  <c:v>3.968714814397508E-2</c:v>
                </c:pt>
                <c:pt idx="4">
                  <c:v>6.6530333178171544E-2</c:v>
                </c:pt>
                <c:pt idx="5">
                  <c:v>9.9976078744302421E-2</c:v>
                </c:pt>
                <c:pt idx="6">
                  <c:v>0.24983723231886421</c:v>
                </c:pt>
                <c:pt idx="7">
                  <c:v>0.5</c:v>
                </c:pt>
                <c:pt idx="17">
                  <c:v>0.24832092706301992</c:v>
                </c:pt>
                <c:pt idx="18">
                  <c:v>0.38157581658478351</c:v>
                </c:pt>
                <c:pt idx="19">
                  <c:v>0.6243847057662828</c:v>
                </c:pt>
                <c:pt idx="20">
                  <c:v>0.98975461890049388</c:v>
                </c:pt>
                <c:pt idx="21">
                  <c:v>1.651432461376195</c:v>
                </c:pt>
                <c:pt idx="22">
                  <c:v>2.4727018223246229</c:v>
                </c:pt>
                <c:pt idx="23">
                  <c:v>6.0857324246411437</c:v>
                </c:pt>
                <c:pt idx="24">
                  <c:v>11.85067962161777</c:v>
                </c:pt>
              </c:numCache>
            </c:numRef>
          </c:xVal>
          <c:yVal>
            <c:numRef>
              <c:f>Summary!$BL$262:$BL$286</c:f>
              <c:numCache>
                <c:formatCode>General</c:formatCode>
                <c:ptCount val="25"/>
                <c:pt idx="0">
                  <c:v>1.5632823264584936</c:v>
                </c:pt>
                <c:pt idx="1">
                  <c:v>1.5888087345306086</c:v>
                </c:pt>
                <c:pt idx="2">
                  <c:v>1.5564653069398464</c:v>
                </c:pt>
                <c:pt idx="3">
                  <c:v>1.5167718889949917</c:v>
                </c:pt>
                <c:pt idx="4">
                  <c:v>1.6124349925337456</c:v>
                </c:pt>
                <c:pt idx="5">
                  <c:v>1.5163141992569347</c:v>
                </c:pt>
                <c:pt idx="6">
                  <c:v>1.5092569712264539</c:v>
                </c:pt>
                <c:pt idx="7">
                  <c:v>1.3814706280704889</c:v>
                </c:pt>
                <c:pt idx="17">
                  <c:v>1.3713557009244142</c:v>
                </c:pt>
                <c:pt idx="18">
                  <c:v>1.3919982577290961</c:v>
                </c:pt>
                <c:pt idx="19">
                  <c:v>1.4092577704358298</c:v>
                </c:pt>
                <c:pt idx="20">
                  <c:v>1.3979965303994972</c:v>
                </c:pt>
                <c:pt idx="21">
                  <c:v>1.469762079450889</c:v>
                </c:pt>
                <c:pt idx="22">
                  <c:v>1.6109716176642057</c:v>
                </c:pt>
                <c:pt idx="23">
                  <c:v>2.0806070598599158</c:v>
                </c:pt>
                <c:pt idx="24">
                  <c:v>3.0389241291109141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98-4C2D-9356-0395ABEC3A70}"/>
            </c:ext>
          </c:extLst>
        </c:ser>
        <c:ser>
          <c:idx val="5"/>
          <c:order val="7"/>
          <c:tx>
            <c:v>EDMD, S1, new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noFill/>
              <a:ln w="22225">
                <a:solidFill>
                  <a:srgbClr val="92D050"/>
                </a:solidFill>
              </a:ln>
              <a:effectLst/>
            </c:spPr>
          </c:marker>
          <c:xVal>
            <c:numRef>
              <c:f>Summary!$BU$262:$BU$272</c:f>
              <c:numCache>
                <c:formatCode>General</c:formatCode>
                <c:ptCount val="11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</c:numCache>
            </c:numRef>
          </c:xVal>
          <c:yVal>
            <c:numRef>
              <c:f>Summary!$CA$262:$CA$272</c:f>
              <c:numCache>
                <c:formatCode>General</c:formatCode>
                <c:ptCount val="11"/>
                <c:pt idx="0">
                  <c:v>1.5367281796121295</c:v>
                </c:pt>
                <c:pt idx="1">
                  <c:v>1.541247233422506</c:v>
                </c:pt>
                <c:pt idx="2">
                  <c:v>1.4897823774086514</c:v>
                </c:pt>
                <c:pt idx="3">
                  <c:v>1.4889739112347635</c:v>
                </c:pt>
                <c:pt idx="4">
                  <c:v>1.5250878080082697</c:v>
                </c:pt>
                <c:pt idx="5">
                  <c:v>1.4466099473936946</c:v>
                </c:pt>
                <c:pt idx="6">
                  <c:v>1.3865763625751477</c:v>
                </c:pt>
                <c:pt idx="7">
                  <c:v>1.2775118293314824</c:v>
                </c:pt>
                <c:pt idx="8">
                  <c:v>1.3216215565537572</c:v>
                </c:pt>
                <c:pt idx="9">
                  <c:v>1.3024726520658383</c:v>
                </c:pt>
                <c:pt idx="10">
                  <c:v>1.3007036504707665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98-4C2D-9356-0395ABEC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7808"/>
        <c:axId val="724793792"/>
      </c:scatterChart>
      <c:valAx>
        <c:axId val="724787808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93792"/>
        <c:crossesAt val="0"/>
        <c:crossBetween val="midCat"/>
      </c:valAx>
      <c:valAx>
        <c:axId val="724793792"/>
        <c:scaling>
          <c:orientation val="minMax"/>
          <c:max val="3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87808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890529128212164E-2"/>
          <c:y val="6.0652735151436689E-2"/>
          <c:w val="0.7769367543990563"/>
          <c:h val="0.16969025080426431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4"/>
          <c:order val="0"/>
          <c:tx>
            <c:v>(1) Free-molecular limit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Summary!$H$539:$H$540</c:f>
              <c:numCache>
                <c:formatCode>General</c:formatCode>
                <c:ptCount val="2"/>
                <c:pt idx="0">
                  <c:v>1.525831171817448</c:v>
                </c:pt>
                <c:pt idx="1">
                  <c:v>1.525831171817448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5-4988-B636-F9A8CF8148FE}"/>
            </c:ext>
          </c:extLst>
        </c:ser>
        <c:ser>
          <c:idx val="2"/>
          <c:order val="1"/>
          <c:tx>
            <c:v>(2) Akinshin et al., 1988, Statement 1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Summary!$AK$199:$AK$213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0.9027033336764102</c:v>
                </c:pt>
                <c:pt idx="11">
                  <c:v>1.3540550005146152</c:v>
                </c:pt>
                <c:pt idx="12">
                  <c:v>2.777695517608568</c:v>
                </c:pt>
                <c:pt idx="13">
                  <c:v>5.2756319752069105</c:v>
                </c:pt>
                <c:pt idx="14">
                  <c:v>8.0271555744033964</c:v>
                </c:pt>
              </c:numCache>
            </c:numRef>
          </c:xVal>
          <c:yVal>
            <c:numRef>
              <c:f>Summary!$AL$199:$AL$213</c:f>
              <c:numCache>
                <c:formatCode>General</c:formatCode>
                <c:ptCount val="15"/>
                <c:pt idx="0">
                  <c:v>1.4781767088951216</c:v>
                </c:pt>
                <c:pt idx="1">
                  <c:v>1.4781767088951216</c:v>
                </c:pt>
                <c:pt idx="2">
                  <c:v>1.4668929172241665</c:v>
                </c:pt>
                <c:pt idx="3">
                  <c:v>1.4443253338822561</c:v>
                </c:pt>
                <c:pt idx="4">
                  <c:v>1.4104739588693909</c:v>
                </c:pt>
                <c:pt idx="5">
                  <c:v>1.3766225838565254</c:v>
                </c:pt>
                <c:pt idx="6">
                  <c:v>1.3540550005146152</c:v>
                </c:pt>
                <c:pt idx="7">
                  <c:v>1.3089198338307946</c:v>
                </c:pt>
                <c:pt idx="8">
                  <c:v>1.2863522504888842</c:v>
                </c:pt>
                <c:pt idx="9">
                  <c:v>1.2750684588179293</c:v>
                </c:pt>
                <c:pt idx="10">
                  <c:v>1.2637846671469743</c:v>
                </c:pt>
                <c:pt idx="11">
                  <c:v>1.2750684588179293</c:v>
                </c:pt>
                <c:pt idx="12">
                  <c:v>1.3540550005146152</c:v>
                </c:pt>
                <c:pt idx="13">
                  <c:v>1.5345956672498973</c:v>
                </c:pt>
                <c:pt idx="14">
                  <c:v>1.7489877089980448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5-4988-B636-F9A8CF8148FE}"/>
            </c:ext>
          </c:extLst>
        </c:ser>
        <c:ser>
          <c:idx val="9"/>
          <c:order val="2"/>
          <c:tx>
            <c:v>(3) Akinshin et al., 1989, Statement 2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Summary!$AY$199:$AY$211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0.67702750025730762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Summary!$AZ$199:$AZ$211</c:f>
              <c:numCache>
                <c:formatCode>General</c:formatCode>
                <c:ptCount val="13"/>
                <c:pt idx="0">
                  <c:v>1.5379808047511838</c:v>
                </c:pt>
                <c:pt idx="1">
                  <c:v>1.5379808047511838</c:v>
                </c:pt>
                <c:pt idx="2">
                  <c:v>1.5379808047511838</c:v>
                </c:pt>
                <c:pt idx="3">
                  <c:v>1.5120280839079872</c:v>
                </c:pt>
                <c:pt idx="4">
                  <c:v>1.4781767088951216</c:v>
                </c:pt>
                <c:pt idx="5">
                  <c:v>1.4443253338822561</c:v>
                </c:pt>
                <c:pt idx="6">
                  <c:v>1.421757750540346</c:v>
                </c:pt>
                <c:pt idx="7">
                  <c:v>1.421757750540346</c:v>
                </c:pt>
                <c:pt idx="8">
                  <c:v>1.4781767088951216</c:v>
                </c:pt>
                <c:pt idx="9">
                  <c:v>1.6587173756304037</c:v>
                </c:pt>
                <c:pt idx="10">
                  <c:v>1.9520959590752369</c:v>
                </c:pt>
                <c:pt idx="11">
                  <c:v>2.313177292545801</c:v>
                </c:pt>
                <c:pt idx="12">
                  <c:v>2.8209479177387817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5-4988-B636-F9A8CF8148FE}"/>
            </c:ext>
          </c:extLst>
        </c:ser>
        <c:ser>
          <c:idx val="7"/>
          <c:order val="3"/>
          <c:tx>
            <c:v>(4) Titarev, 2012, Statement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Summary!$E$547:$E$555</c:f>
              <c:numCache>
                <c:formatCode>General</c:formatCode>
                <c:ptCount val="9"/>
                <c:pt idx="0">
                  <c:v>2.2567583341910252E-2</c:v>
                </c:pt>
                <c:pt idx="1">
                  <c:v>0.22567583341910255</c:v>
                </c:pt>
                <c:pt idx="2">
                  <c:v>2.2567583341910251</c:v>
                </c:pt>
                <c:pt idx="3">
                  <c:v>4.5135166683820502</c:v>
                </c:pt>
                <c:pt idx="4">
                  <c:v>11.283791670955127</c:v>
                </c:pt>
                <c:pt idx="5">
                  <c:v>22.567583341910254</c:v>
                </c:pt>
                <c:pt idx="6">
                  <c:v>67.702750025730765</c:v>
                </c:pt>
                <c:pt idx="7">
                  <c:v>112.83791670955127</c:v>
                </c:pt>
                <c:pt idx="8">
                  <c:v>225.67583341910253</c:v>
                </c:pt>
              </c:numCache>
            </c:numRef>
          </c:xVal>
          <c:yVal>
            <c:numRef>
              <c:f>Summary!$F$547:$F$555</c:f>
              <c:numCache>
                <c:formatCode>General</c:formatCode>
                <c:ptCount val="9"/>
                <c:pt idx="0">
                  <c:v>1.5176699797434645</c:v>
                </c:pt>
                <c:pt idx="1">
                  <c:v>1.4556091255532113</c:v>
                </c:pt>
                <c:pt idx="2">
                  <c:v>1.562805146427285</c:v>
                </c:pt>
                <c:pt idx="3">
                  <c:v>1.8618256257075958</c:v>
                </c:pt>
                <c:pt idx="4">
                  <c:v>2.8209479177387817</c:v>
                </c:pt>
                <c:pt idx="5">
                  <c:v>4.5078747725465735</c:v>
                </c:pt>
                <c:pt idx="6">
                  <c:v>11.114534795890799</c:v>
                </c:pt>
                <c:pt idx="7">
                  <c:v>16.982106464787467</c:v>
                </c:pt>
                <c:pt idx="8">
                  <c:v>26.968262093582752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E5-4988-B636-F9A8CF8148FE}"/>
            </c:ext>
          </c:extLst>
        </c:ser>
        <c:ser>
          <c:idx val="1"/>
          <c:order val="4"/>
          <c:tx>
            <c:v>(5) EDMD, Statement 1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Summary!$D$262:$D$272</c:f>
              <c:numCache>
                <c:formatCode>General</c:formatCode>
                <c:ptCount val="11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</c:numCache>
            </c:numRef>
          </c:xVal>
          <c:yVal>
            <c:numRef>
              <c:f>Summary!$X$262:$X$272</c:f>
              <c:numCache>
                <c:formatCode>General</c:formatCode>
                <c:ptCount val="11"/>
                <c:pt idx="0">
                  <c:v>1.5287337708128714</c:v>
                </c:pt>
                <c:pt idx="1">
                  <c:v>1.5309583868193786</c:v>
                </c:pt>
                <c:pt idx="2">
                  <c:v>1.4934256230685088</c:v>
                </c:pt>
                <c:pt idx="3">
                  <c:v>1.4769531308413495</c:v>
                </c:pt>
                <c:pt idx="4">
                  <c:v>1.5073661466238188</c:v>
                </c:pt>
                <c:pt idx="5">
                  <c:v>1.4232424748104262</c:v>
                </c:pt>
                <c:pt idx="6">
                  <c:v>1.3851199877478546</c:v>
                </c:pt>
                <c:pt idx="7">
                  <c:v>1.3004085592677936</c:v>
                </c:pt>
                <c:pt idx="8">
                  <c:v>1.3046444720661117</c:v>
                </c:pt>
                <c:pt idx="9">
                  <c:v>1.3425388900030992</c:v>
                </c:pt>
                <c:pt idx="10">
                  <c:v>1.2806539421559615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E5-4988-B636-F9A8CF8148FE}"/>
            </c:ext>
          </c:extLst>
        </c:ser>
        <c:ser>
          <c:idx val="0"/>
          <c:order val="5"/>
          <c:tx>
            <c:v>(6) EDMD, Statement 2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Summary!$BA$262:$BA$286</c:f>
              <c:numCache>
                <c:formatCode>General</c:formatCode>
                <c:ptCount val="25"/>
                <c:pt idx="0">
                  <c:v>0.01</c:v>
                </c:pt>
                <c:pt idx="1">
                  <c:v>1.5263833795432729E-2</c:v>
                </c:pt>
                <c:pt idx="2">
                  <c:v>2.4861325222164086E-2</c:v>
                </c:pt>
                <c:pt idx="3">
                  <c:v>3.968714814397508E-2</c:v>
                </c:pt>
                <c:pt idx="5">
                  <c:v>9.9976078744302421E-2</c:v>
                </c:pt>
                <c:pt idx="17">
                  <c:v>0.24832092706301992</c:v>
                </c:pt>
                <c:pt idx="18">
                  <c:v>0.38157581658478351</c:v>
                </c:pt>
                <c:pt idx="19">
                  <c:v>0.6243847057662828</c:v>
                </c:pt>
                <c:pt idx="20">
                  <c:v>0.98975461890049388</c:v>
                </c:pt>
                <c:pt idx="21">
                  <c:v>1.651432461376195</c:v>
                </c:pt>
                <c:pt idx="22">
                  <c:v>2.4727018223246229</c:v>
                </c:pt>
                <c:pt idx="23">
                  <c:v>6.0857324246411437</c:v>
                </c:pt>
                <c:pt idx="24">
                  <c:v>11.85067962161777</c:v>
                </c:pt>
              </c:numCache>
            </c:numRef>
          </c:xVal>
          <c:yVal>
            <c:numRef>
              <c:f>Summary!$BB$262:$BB$286</c:f>
              <c:numCache>
                <c:formatCode>General</c:formatCode>
                <c:ptCount val="25"/>
                <c:pt idx="0">
                  <c:v>1.5355046421908625</c:v>
                </c:pt>
                <c:pt idx="1">
                  <c:v>1.5433583179302139</c:v>
                </c:pt>
                <c:pt idx="2">
                  <c:v>1.5495678662770533</c:v>
                </c:pt>
                <c:pt idx="3">
                  <c:v>1.5287749789360394</c:v>
                </c:pt>
                <c:pt idx="5">
                  <c:v>1.490630698033325</c:v>
                </c:pt>
                <c:pt idx="17">
                  <c:v>1.4056251136457256</c:v>
                </c:pt>
                <c:pt idx="18">
                  <c:v>1.4227886566271877</c:v>
                </c:pt>
                <c:pt idx="19">
                  <c:v>1.3714700718928843</c:v>
                </c:pt>
                <c:pt idx="20">
                  <c:v>1.4054905395797832</c:v>
                </c:pt>
                <c:pt idx="21">
                  <c:v>1.4726243746613297</c:v>
                </c:pt>
                <c:pt idx="22">
                  <c:v>1.5618938893719538</c:v>
                </c:pt>
                <c:pt idx="23">
                  <c:v>2.0964487856748204</c:v>
                </c:pt>
                <c:pt idx="24">
                  <c:v>2.9254444683150811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E5-4988-B636-F9A8CF81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6176"/>
        <c:axId val="724787264"/>
      </c:scatterChart>
      <c:valAx>
        <c:axId val="724786176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87264"/>
        <c:crossesAt val="0"/>
        <c:crossBetween val="midCat"/>
      </c:valAx>
      <c:valAx>
        <c:axId val="724787264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86176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890529128212164E-2"/>
          <c:y val="6.0652735151436689E-2"/>
          <c:w val="0.51659607191908963"/>
          <c:h val="0.3393788696890540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Summary!$AF$417</c:f>
              <c:strCache>
                <c:ptCount val="1"/>
                <c:pt idx="0">
                  <c:v>100</c:v>
                </c:pt>
              </c:strCache>
            </c:strRef>
          </c:tx>
          <c:spPr>
            <a:ln w="12700" cap="rnd">
              <a:solidFill>
                <a:schemeClr val="tx1">
                  <a:alpha val="97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Summary!$W$433:$W$444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Summary!$AF$433:$AF$444</c:f>
              <c:numCache>
                <c:formatCode>General</c:formatCode>
                <c:ptCount val="12"/>
                <c:pt idx="0">
                  <c:v>5.0855569800760864E-2</c:v>
                </c:pt>
                <c:pt idx="1">
                  <c:v>7.8130065336363561E-2</c:v>
                </c:pt>
                <c:pt idx="2">
                  <c:v>0.11279140341286018</c:v>
                </c:pt>
                <c:pt idx="3">
                  <c:v>0.12873703947468995</c:v>
                </c:pt>
                <c:pt idx="4">
                  <c:v>0.15913673762374758</c:v>
                </c:pt>
                <c:pt idx="5">
                  <c:v>0.14915739746033044</c:v>
                </c:pt>
                <c:pt idx="6">
                  <c:v>0.13743788765987525</c:v>
                </c:pt>
                <c:pt idx="7">
                  <c:v>0.1197165682949463</c:v>
                </c:pt>
                <c:pt idx="8">
                  <c:v>0.10188870793183068</c:v>
                </c:pt>
                <c:pt idx="9">
                  <c:v>9.4537379056999507E-2</c:v>
                </c:pt>
                <c:pt idx="10">
                  <c:v>7.7064655354503409E-2</c:v>
                </c:pt>
                <c:pt idx="11">
                  <c:v>6.5203090889802043E-2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9-4B5E-B242-EADD35F50E65}"/>
            </c:ext>
          </c:extLst>
        </c:ser>
        <c:ser>
          <c:idx val="0"/>
          <c:order val="1"/>
          <c:tx>
            <c:strRef>
              <c:f>Summary!$Z$417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Summary!$W$433:$W$444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Summary!$Z$433:$Z$444</c:f>
              <c:numCache>
                <c:formatCode>General</c:formatCode>
                <c:ptCount val="12"/>
                <c:pt idx="0">
                  <c:v>0.19230650172564065</c:v>
                </c:pt>
                <c:pt idx="1">
                  <c:v>0.23183321205262858</c:v>
                </c:pt>
                <c:pt idx="2">
                  <c:v>0.28236915885883107</c:v>
                </c:pt>
                <c:pt idx="3">
                  <c:v>0.27217673669904058</c:v>
                </c:pt>
                <c:pt idx="4">
                  <c:v>0.23272105370417817</c:v>
                </c:pt>
                <c:pt idx="5">
                  <c:v>0.19077941408497429</c:v>
                </c:pt>
                <c:pt idx="6">
                  <c:v>0.16993289210659043</c:v>
                </c:pt>
                <c:pt idx="7">
                  <c:v>0.14194812324974709</c:v>
                </c:pt>
                <c:pt idx="8">
                  <c:v>0.10941760513697077</c:v>
                </c:pt>
                <c:pt idx="9">
                  <c:v>0.10597277952895907</c:v>
                </c:pt>
                <c:pt idx="10">
                  <c:v>7.9373043648532662E-2</c:v>
                </c:pt>
                <c:pt idx="11">
                  <c:v>7.543102671565205E-2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9-4B5E-B242-EADD35F50E65}"/>
            </c:ext>
          </c:extLst>
        </c:ser>
        <c:ser>
          <c:idx val="2"/>
          <c:order val="2"/>
          <c:tx>
            <c:strRef>
              <c:f>Summary!$AD$417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Summary!$W$433:$W$444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Summary!$AD$433:$AD$444</c:f>
              <c:numCache>
                <c:formatCode>General</c:formatCode>
                <c:ptCount val="12"/>
                <c:pt idx="0">
                  <c:v>0.28410932849586751</c:v>
                </c:pt>
                <c:pt idx="1">
                  <c:v>0.30896889473925587</c:v>
                </c:pt>
                <c:pt idx="2">
                  <c:v>0.35158529401363597</c:v>
                </c:pt>
                <c:pt idx="3">
                  <c:v>0.31607162795165261</c:v>
                </c:pt>
                <c:pt idx="4">
                  <c:v>0.24504429582768569</c:v>
                </c:pt>
                <c:pt idx="5">
                  <c:v>0.19014016809585918</c:v>
                </c:pt>
                <c:pt idx="6">
                  <c:v>0.16691423049132212</c:v>
                </c:pt>
                <c:pt idx="7">
                  <c:v>0.13140056442933873</c:v>
                </c:pt>
                <c:pt idx="8">
                  <c:v>0.12429783121694202</c:v>
                </c:pt>
                <c:pt idx="9">
                  <c:v>9.4537379056999507E-2</c:v>
                </c:pt>
                <c:pt idx="10">
                  <c:v>8.05094809625167E-2</c:v>
                </c:pt>
                <c:pt idx="11">
                  <c:v>6.7475965517768535E-2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49-4B5E-B242-EADD35F50E65}"/>
            </c:ext>
          </c:extLst>
        </c:ser>
        <c:ser>
          <c:idx val="1"/>
          <c:order val="3"/>
          <c:tx>
            <c:strRef>
              <c:f>Summary!$AB$417</c:f>
              <c:strCache>
                <c:ptCount val="1"/>
                <c:pt idx="0">
                  <c:v>0,1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Summary!$W$433:$W$444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Summary!$AB$433:$AB$444</c:f>
              <c:numCache>
                <c:formatCode>General</c:formatCode>
                <c:ptCount val="12"/>
                <c:pt idx="0">
                  <c:v>0.28641771678989675</c:v>
                </c:pt>
                <c:pt idx="1">
                  <c:v>0.33581722628211674</c:v>
                </c:pt>
                <c:pt idx="2">
                  <c:v>0.35481703762527594</c:v>
                </c:pt>
                <c:pt idx="3">
                  <c:v>0.29146065737069865</c:v>
                </c:pt>
                <c:pt idx="4">
                  <c:v>0.24209666154454135</c:v>
                </c:pt>
                <c:pt idx="5">
                  <c:v>0.18694393815028035</c:v>
                </c:pt>
                <c:pt idx="6">
                  <c:v>0.15810684130795019</c:v>
                </c:pt>
                <c:pt idx="7">
                  <c:v>0.12912768980137221</c:v>
                </c:pt>
                <c:pt idx="8">
                  <c:v>0.11886424030945784</c:v>
                </c:pt>
                <c:pt idx="9">
                  <c:v>9.350748274120213E-2</c:v>
                </c:pt>
                <c:pt idx="10">
                  <c:v>7.9373043648532662E-2</c:v>
                </c:pt>
                <c:pt idx="11">
                  <c:v>6.6481582868032282E-2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9-4B5E-B242-EADD35F50E65}"/>
            </c:ext>
          </c:extLst>
        </c:ser>
        <c:ser>
          <c:idx val="4"/>
          <c:order val="4"/>
          <c:tx>
            <c:strRef>
              <c:f>Summary!$X$417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Summary!$W$433:$W$444</c:f>
              <c:numCache>
                <c:formatCode>General</c:formatCode>
                <c:ptCount val="12"/>
                <c:pt idx="0">
                  <c:v>0.32388247743517218</c:v>
                </c:pt>
                <c:pt idx="1">
                  <c:v>0.40485309679396525</c:v>
                </c:pt>
                <c:pt idx="2">
                  <c:v>0.48582371615275832</c:v>
                </c:pt>
                <c:pt idx="3">
                  <c:v>0.64776495487034436</c:v>
                </c:pt>
                <c:pt idx="4">
                  <c:v>0.8097061935879305</c:v>
                </c:pt>
                <c:pt idx="5">
                  <c:v>0.97164743230551665</c:v>
                </c:pt>
                <c:pt idx="6">
                  <c:v>1.1335886710231029</c:v>
                </c:pt>
                <c:pt idx="7">
                  <c:v>1.2955299097406887</c:v>
                </c:pt>
                <c:pt idx="8">
                  <c:v>1.457471148458275</c:v>
                </c:pt>
                <c:pt idx="9">
                  <c:v>1.619412387175861</c:v>
                </c:pt>
                <c:pt idx="10">
                  <c:v>1.7813536258934473</c:v>
                </c:pt>
                <c:pt idx="11">
                  <c:v>1.9432948646110333</c:v>
                </c:pt>
              </c:numCache>
            </c:numRef>
          </c:xVal>
          <c:yVal>
            <c:numRef>
              <c:f>Summary!$X$433:$X$444</c:f>
              <c:numCache>
                <c:formatCode>General</c:formatCode>
                <c:ptCount val="12"/>
                <c:pt idx="0">
                  <c:v>0.32448836680834225</c:v>
                </c:pt>
                <c:pt idx="1">
                  <c:v>0.33347332432202315</c:v>
                </c:pt>
                <c:pt idx="2">
                  <c:v>0.37907287154561042</c:v>
                </c:pt>
                <c:pt idx="3">
                  <c:v>0.31113522836903729</c:v>
                </c:pt>
                <c:pt idx="4">
                  <c:v>0.25516569065535066</c:v>
                </c:pt>
                <c:pt idx="5">
                  <c:v>0.19848587962042497</c:v>
                </c:pt>
                <c:pt idx="6">
                  <c:v>0.16694974415738489</c:v>
                </c:pt>
                <c:pt idx="7">
                  <c:v>0.1359463136852733</c:v>
                </c:pt>
                <c:pt idx="8">
                  <c:v>0.11509979170688781</c:v>
                </c:pt>
                <c:pt idx="9">
                  <c:v>0.10700267584475648</c:v>
                </c:pt>
                <c:pt idx="10">
                  <c:v>8.2817869256545953E-2</c:v>
                </c:pt>
                <c:pt idx="11">
                  <c:v>6.9038566824495995E-2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49-4B5E-B242-EADD35F5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91072"/>
        <c:axId val="724791616"/>
      </c:scatterChart>
      <c:valAx>
        <c:axId val="724791072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24791616"/>
        <c:crosses val="autoZero"/>
        <c:crossBetween val="midCat"/>
        <c:majorUnit val="0.5"/>
      </c:valAx>
      <c:valAx>
        <c:axId val="72479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2479107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076023391812861"/>
          <c:y val="0.10050940269275847"/>
          <c:w val="9.9415204678362568E-2"/>
          <c:h val="0.33529514911226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4"/>
          <c:order val="0"/>
          <c:tx>
            <c:v>(1) Free-molecular limit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Summary!$H$539:$H$540</c:f>
              <c:numCache>
                <c:formatCode>General</c:formatCode>
                <c:ptCount val="2"/>
                <c:pt idx="0">
                  <c:v>1.525831171817448</c:v>
                </c:pt>
                <c:pt idx="1">
                  <c:v>1.525831171817448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42F6-BF60-46320BD4358D}"/>
            </c:ext>
          </c:extLst>
        </c:ser>
        <c:ser>
          <c:idx val="2"/>
          <c:order val="1"/>
          <c:tx>
            <c:v>(2) Akinshin et al., 1988, Statement 1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Summary!$AK$199:$AK$213</c:f>
              <c:numCache>
                <c:formatCode>General</c:formatCode>
                <c:ptCount val="15"/>
                <c:pt idx="0">
                  <c:v>2.2567583341910253E-3</c:v>
                </c:pt>
                <c:pt idx="1">
                  <c:v>4.5135166683820506E-3</c:v>
                </c:pt>
                <c:pt idx="2">
                  <c:v>1.1306154205622311E-2</c:v>
                </c:pt>
                <c:pt idx="3">
                  <c:v>2.5358978618061245E-2</c:v>
                </c:pt>
                <c:pt idx="4">
                  <c:v>5.2547831830448088E-2</c:v>
                </c:pt>
                <c:pt idx="5">
                  <c:v>9.6691240387863461E-2</c:v>
                </c:pt>
                <c:pt idx="6">
                  <c:v>0.1696614507446832</c:v>
                </c:pt>
                <c:pt idx="7">
                  <c:v>0.26435559546062132</c:v>
                </c:pt>
                <c:pt idx="8">
                  <c:v>0.40223114532988807</c:v>
                </c:pt>
                <c:pt idx="9">
                  <c:v>0.5790115373344783</c:v>
                </c:pt>
                <c:pt idx="10">
                  <c:v>0.9027033336764102</c:v>
                </c:pt>
                <c:pt idx="11">
                  <c:v>1.3540550005146152</c:v>
                </c:pt>
                <c:pt idx="12">
                  <c:v>2.777695517608568</c:v>
                </c:pt>
                <c:pt idx="13">
                  <c:v>5.2756319752069105</c:v>
                </c:pt>
                <c:pt idx="14">
                  <c:v>8.0271555744033964</c:v>
                </c:pt>
              </c:numCache>
            </c:numRef>
          </c:xVal>
          <c:yVal>
            <c:numRef>
              <c:f>Summary!$AL$199:$AL$213</c:f>
              <c:numCache>
                <c:formatCode>General</c:formatCode>
                <c:ptCount val="15"/>
                <c:pt idx="0">
                  <c:v>1.4781767088951216</c:v>
                </c:pt>
                <c:pt idx="1">
                  <c:v>1.4781767088951216</c:v>
                </c:pt>
                <c:pt idx="2">
                  <c:v>1.4668929172241665</c:v>
                </c:pt>
                <c:pt idx="3">
                  <c:v>1.4443253338822561</c:v>
                </c:pt>
                <c:pt idx="4">
                  <c:v>1.4104739588693909</c:v>
                </c:pt>
                <c:pt idx="5">
                  <c:v>1.3766225838565254</c:v>
                </c:pt>
                <c:pt idx="6">
                  <c:v>1.3540550005146152</c:v>
                </c:pt>
                <c:pt idx="7">
                  <c:v>1.3089198338307946</c:v>
                </c:pt>
                <c:pt idx="8">
                  <c:v>1.2863522504888842</c:v>
                </c:pt>
                <c:pt idx="9">
                  <c:v>1.2750684588179293</c:v>
                </c:pt>
                <c:pt idx="10">
                  <c:v>1.2637846671469743</c:v>
                </c:pt>
                <c:pt idx="11">
                  <c:v>1.2750684588179293</c:v>
                </c:pt>
                <c:pt idx="12">
                  <c:v>1.3540550005146152</c:v>
                </c:pt>
                <c:pt idx="13">
                  <c:v>1.5345956672498973</c:v>
                </c:pt>
                <c:pt idx="14">
                  <c:v>1.7489877089980448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9-42F6-BF60-46320BD4358D}"/>
            </c:ext>
          </c:extLst>
        </c:ser>
        <c:ser>
          <c:idx val="9"/>
          <c:order val="2"/>
          <c:tx>
            <c:v>(3) Akinshin et al., 1989, Statement 2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Summary!$AY$199:$AY$211</c:f>
              <c:numCache>
                <c:formatCode>General</c:formatCode>
                <c:ptCount val="13"/>
                <c:pt idx="0">
                  <c:v>1.1283791670955126E-2</c:v>
                </c:pt>
                <c:pt idx="1">
                  <c:v>2.2567583341910252E-2</c:v>
                </c:pt>
                <c:pt idx="2">
                  <c:v>5.2547831830448088E-2</c:v>
                </c:pt>
                <c:pt idx="3">
                  <c:v>9.6691240387863461E-2</c:v>
                </c:pt>
                <c:pt idx="4">
                  <c:v>0.1696614507446832</c:v>
                </c:pt>
                <c:pt idx="5">
                  <c:v>0.26435559546062132</c:v>
                </c:pt>
                <c:pt idx="6">
                  <c:v>0.40223114532988807</c:v>
                </c:pt>
                <c:pt idx="7">
                  <c:v>0.67702750025730762</c:v>
                </c:pt>
                <c:pt idx="8">
                  <c:v>1.241217083805064</c:v>
                </c:pt>
                <c:pt idx="9">
                  <c:v>2.777695517608568</c:v>
                </c:pt>
                <c:pt idx="10">
                  <c:v>5.2756319752069105</c:v>
                </c:pt>
                <c:pt idx="11">
                  <c:v>8.0271555744033964</c:v>
                </c:pt>
                <c:pt idx="12">
                  <c:v>11.283791670955127</c:v>
                </c:pt>
              </c:numCache>
            </c:numRef>
          </c:xVal>
          <c:yVal>
            <c:numRef>
              <c:f>Summary!$AZ$199:$AZ$211</c:f>
              <c:numCache>
                <c:formatCode>General</c:formatCode>
                <c:ptCount val="13"/>
                <c:pt idx="0">
                  <c:v>1.5379808047511838</c:v>
                </c:pt>
                <c:pt idx="1">
                  <c:v>1.5379808047511838</c:v>
                </c:pt>
                <c:pt idx="2">
                  <c:v>1.5379808047511838</c:v>
                </c:pt>
                <c:pt idx="3">
                  <c:v>1.5120280839079872</c:v>
                </c:pt>
                <c:pt idx="4">
                  <c:v>1.4781767088951216</c:v>
                </c:pt>
                <c:pt idx="5">
                  <c:v>1.4443253338822561</c:v>
                </c:pt>
                <c:pt idx="6">
                  <c:v>1.421757750540346</c:v>
                </c:pt>
                <c:pt idx="7">
                  <c:v>1.421757750540346</c:v>
                </c:pt>
                <c:pt idx="8">
                  <c:v>1.4781767088951216</c:v>
                </c:pt>
                <c:pt idx="9">
                  <c:v>1.6587173756304037</c:v>
                </c:pt>
                <c:pt idx="10">
                  <c:v>1.9520959590752369</c:v>
                </c:pt>
                <c:pt idx="11">
                  <c:v>2.313177292545801</c:v>
                </c:pt>
                <c:pt idx="12">
                  <c:v>2.8209479177387817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9-42F6-BF60-46320BD4358D}"/>
            </c:ext>
          </c:extLst>
        </c:ser>
        <c:ser>
          <c:idx val="7"/>
          <c:order val="3"/>
          <c:tx>
            <c:v>(4) Titarev, 2012, Statement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Summary!$E$547:$E$555</c:f>
              <c:numCache>
                <c:formatCode>General</c:formatCode>
                <c:ptCount val="9"/>
                <c:pt idx="0">
                  <c:v>2.2567583341910252E-2</c:v>
                </c:pt>
                <c:pt idx="1">
                  <c:v>0.22567583341910255</c:v>
                </c:pt>
                <c:pt idx="2">
                  <c:v>2.2567583341910251</c:v>
                </c:pt>
                <c:pt idx="3">
                  <c:v>4.5135166683820502</c:v>
                </c:pt>
                <c:pt idx="4">
                  <c:v>11.283791670955127</c:v>
                </c:pt>
                <c:pt idx="5">
                  <c:v>22.567583341910254</c:v>
                </c:pt>
                <c:pt idx="6">
                  <c:v>67.702750025730765</c:v>
                </c:pt>
                <c:pt idx="7">
                  <c:v>112.83791670955127</c:v>
                </c:pt>
                <c:pt idx="8">
                  <c:v>225.67583341910253</c:v>
                </c:pt>
              </c:numCache>
            </c:numRef>
          </c:xVal>
          <c:yVal>
            <c:numRef>
              <c:f>Summary!$F$547:$F$555</c:f>
              <c:numCache>
                <c:formatCode>General</c:formatCode>
                <c:ptCount val="9"/>
                <c:pt idx="0">
                  <c:v>1.5176699797434645</c:v>
                </c:pt>
                <c:pt idx="1">
                  <c:v>1.4556091255532113</c:v>
                </c:pt>
                <c:pt idx="2">
                  <c:v>1.562805146427285</c:v>
                </c:pt>
                <c:pt idx="3">
                  <c:v>1.8618256257075958</c:v>
                </c:pt>
                <c:pt idx="4">
                  <c:v>2.8209479177387817</c:v>
                </c:pt>
                <c:pt idx="5">
                  <c:v>4.5078747725465735</c:v>
                </c:pt>
                <c:pt idx="6">
                  <c:v>11.114534795890799</c:v>
                </c:pt>
                <c:pt idx="7">
                  <c:v>16.982106464787467</c:v>
                </c:pt>
                <c:pt idx="8">
                  <c:v>26.968262093582752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89-42F6-BF60-46320BD4358D}"/>
            </c:ext>
          </c:extLst>
        </c:ser>
        <c:ser>
          <c:idx val="1"/>
          <c:order val="4"/>
          <c:tx>
            <c:v>(5) EDMD, Statement 1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Summary!$D$262:$D$272</c:f>
              <c:numCache>
                <c:formatCode>General</c:formatCode>
                <c:ptCount val="11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</c:numCache>
            </c:numRef>
          </c:xVal>
          <c:yVal>
            <c:numRef>
              <c:f>Summary!$X$262:$X$272</c:f>
              <c:numCache>
                <c:formatCode>General</c:formatCode>
                <c:ptCount val="11"/>
                <c:pt idx="0">
                  <c:v>1.5287337708128714</c:v>
                </c:pt>
                <c:pt idx="1">
                  <c:v>1.5309583868193786</c:v>
                </c:pt>
                <c:pt idx="2">
                  <c:v>1.4934256230685088</c:v>
                </c:pt>
                <c:pt idx="3">
                  <c:v>1.4769531308413495</c:v>
                </c:pt>
                <c:pt idx="4">
                  <c:v>1.5073661466238188</c:v>
                </c:pt>
                <c:pt idx="5">
                  <c:v>1.4232424748104262</c:v>
                </c:pt>
                <c:pt idx="6">
                  <c:v>1.3851199877478546</c:v>
                </c:pt>
                <c:pt idx="7">
                  <c:v>1.3004085592677936</c:v>
                </c:pt>
                <c:pt idx="8">
                  <c:v>1.3046444720661117</c:v>
                </c:pt>
                <c:pt idx="9">
                  <c:v>1.3425388900030992</c:v>
                </c:pt>
                <c:pt idx="10">
                  <c:v>1.2806539421559615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89-42F6-BF60-46320BD4358D}"/>
            </c:ext>
          </c:extLst>
        </c:ser>
        <c:ser>
          <c:idx val="0"/>
          <c:order val="5"/>
          <c:tx>
            <c:v>(6) EDMD, Statement 2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Summary!$BA$262:$BA$286</c:f>
              <c:numCache>
                <c:formatCode>General</c:formatCode>
                <c:ptCount val="25"/>
                <c:pt idx="0">
                  <c:v>0.01</c:v>
                </c:pt>
                <c:pt idx="1">
                  <c:v>1.5263833795432729E-2</c:v>
                </c:pt>
                <c:pt idx="2">
                  <c:v>2.4861325222164086E-2</c:v>
                </c:pt>
                <c:pt idx="3">
                  <c:v>3.968714814397508E-2</c:v>
                </c:pt>
                <c:pt idx="5">
                  <c:v>9.9976078744302421E-2</c:v>
                </c:pt>
                <c:pt idx="17">
                  <c:v>0.24832092706301992</c:v>
                </c:pt>
                <c:pt idx="18">
                  <c:v>0.38157581658478351</c:v>
                </c:pt>
                <c:pt idx="19">
                  <c:v>0.6243847057662828</c:v>
                </c:pt>
                <c:pt idx="20">
                  <c:v>0.98975461890049388</c:v>
                </c:pt>
                <c:pt idx="21">
                  <c:v>1.651432461376195</c:v>
                </c:pt>
                <c:pt idx="22">
                  <c:v>2.4727018223246229</c:v>
                </c:pt>
                <c:pt idx="23">
                  <c:v>6.0857324246411437</c:v>
                </c:pt>
                <c:pt idx="24">
                  <c:v>11.85067962161777</c:v>
                </c:pt>
              </c:numCache>
            </c:numRef>
          </c:xVal>
          <c:yVal>
            <c:numRef>
              <c:f>Summary!$BB$262:$BB$286</c:f>
              <c:numCache>
                <c:formatCode>General</c:formatCode>
                <c:ptCount val="25"/>
                <c:pt idx="0">
                  <c:v>1.5355046421908625</c:v>
                </c:pt>
                <c:pt idx="1">
                  <c:v>1.5433583179302139</c:v>
                </c:pt>
                <c:pt idx="2">
                  <c:v>1.5495678662770533</c:v>
                </c:pt>
                <c:pt idx="3">
                  <c:v>1.5287749789360394</c:v>
                </c:pt>
                <c:pt idx="5">
                  <c:v>1.490630698033325</c:v>
                </c:pt>
                <c:pt idx="17">
                  <c:v>1.4056251136457256</c:v>
                </c:pt>
                <c:pt idx="18">
                  <c:v>1.4227886566271877</c:v>
                </c:pt>
                <c:pt idx="19">
                  <c:v>1.3714700718928843</c:v>
                </c:pt>
                <c:pt idx="20">
                  <c:v>1.4054905395797832</c:v>
                </c:pt>
                <c:pt idx="21">
                  <c:v>1.4726243746613297</c:v>
                </c:pt>
                <c:pt idx="22">
                  <c:v>1.5618938893719538</c:v>
                </c:pt>
                <c:pt idx="23">
                  <c:v>2.0964487856748204</c:v>
                </c:pt>
                <c:pt idx="24">
                  <c:v>2.9254444683150811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89-42F6-BF60-46320BD4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3456"/>
        <c:axId val="724793248"/>
      </c:scatterChart>
      <c:valAx>
        <c:axId val="724783456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93248"/>
        <c:crossesAt val="0"/>
        <c:crossBetween val="midCat"/>
      </c:valAx>
      <c:valAx>
        <c:axId val="724793248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83456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890529128212164E-2"/>
          <c:y val="6.0652735151436689E-2"/>
          <c:w val="0.51659607191908963"/>
          <c:h val="0.3393788696890540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Summary!$N$68</c:f>
              <c:strCache>
                <c:ptCount val="1"/>
                <c:pt idx="0">
                  <c:v>(1) Navier-Stokes eq., L=∞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Summary!$P$69:$P$146</c:f>
              <c:numCache>
                <c:formatCode>General</c:formatCode>
                <c:ptCount val="7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</c:v>
                </c:pt>
                <c:pt idx="14">
                  <c:v>0.25</c:v>
                </c:pt>
                <c:pt idx="15">
                  <c:v>0.5</c:v>
                </c:pt>
                <c:pt idx="16">
                  <c:v>0.75</c:v>
                </c:pt>
                <c:pt idx="17">
                  <c:v>1</c:v>
                </c:pt>
                <c:pt idx="18">
                  <c:v>1.25</c:v>
                </c:pt>
                <c:pt idx="19">
                  <c:v>1.5</c:v>
                </c:pt>
                <c:pt idx="20">
                  <c:v>1.75</c:v>
                </c:pt>
                <c:pt idx="21">
                  <c:v>2</c:v>
                </c:pt>
                <c:pt idx="22">
                  <c:v>2.25</c:v>
                </c:pt>
                <c:pt idx="23">
                  <c:v>2.5</c:v>
                </c:pt>
                <c:pt idx="24">
                  <c:v>2.75</c:v>
                </c:pt>
                <c:pt idx="25">
                  <c:v>3</c:v>
                </c:pt>
                <c:pt idx="26">
                  <c:v>3.25</c:v>
                </c:pt>
                <c:pt idx="27">
                  <c:v>3.5</c:v>
                </c:pt>
                <c:pt idx="28">
                  <c:v>3.75</c:v>
                </c:pt>
                <c:pt idx="29">
                  <c:v>4</c:v>
                </c:pt>
                <c:pt idx="30">
                  <c:v>4.25</c:v>
                </c:pt>
                <c:pt idx="31">
                  <c:v>4.5</c:v>
                </c:pt>
                <c:pt idx="32">
                  <c:v>4.75</c:v>
                </c:pt>
                <c:pt idx="33">
                  <c:v>5</c:v>
                </c:pt>
                <c:pt idx="34">
                  <c:v>5.25</c:v>
                </c:pt>
                <c:pt idx="35">
                  <c:v>5.5</c:v>
                </c:pt>
                <c:pt idx="36">
                  <c:v>5.75</c:v>
                </c:pt>
                <c:pt idx="37">
                  <c:v>6</c:v>
                </c:pt>
                <c:pt idx="38">
                  <c:v>6.25</c:v>
                </c:pt>
                <c:pt idx="39">
                  <c:v>6.5</c:v>
                </c:pt>
                <c:pt idx="40">
                  <c:v>6.75</c:v>
                </c:pt>
                <c:pt idx="41">
                  <c:v>7</c:v>
                </c:pt>
                <c:pt idx="42">
                  <c:v>7.25</c:v>
                </c:pt>
                <c:pt idx="43">
                  <c:v>7.5</c:v>
                </c:pt>
                <c:pt idx="44">
                  <c:v>7.75</c:v>
                </c:pt>
                <c:pt idx="45">
                  <c:v>8</c:v>
                </c:pt>
                <c:pt idx="46">
                  <c:v>8.25</c:v>
                </c:pt>
                <c:pt idx="47">
                  <c:v>8.5</c:v>
                </c:pt>
                <c:pt idx="48">
                  <c:v>8.75</c:v>
                </c:pt>
                <c:pt idx="49">
                  <c:v>9</c:v>
                </c:pt>
                <c:pt idx="50">
                  <c:v>9.25</c:v>
                </c:pt>
                <c:pt idx="51">
                  <c:v>9.5</c:v>
                </c:pt>
                <c:pt idx="52">
                  <c:v>9.75</c:v>
                </c:pt>
                <c:pt idx="53">
                  <c:v>10</c:v>
                </c:pt>
                <c:pt idx="54">
                  <c:v>10.25</c:v>
                </c:pt>
                <c:pt idx="55">
                  <c:v>10.5</c:v>
                </c:pt>
                <c:pt idx="56">
                  <c:v>10.75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11.75</c:v>
                </c:pt>
                <c:pt idx="61">
                  <c:v>12</c:v>
                </c:pt>
                <c:pt idx="62">
                  <c:v>12.25</c:v>
                </c:pt>
                <c:pt idx="63">
                  <c:v>12.5</c:v>
                </c:pt>
                <c:pt idx="64">
                  <c:v>12.75</c:v>
                </c:pt>
                <c:pt idx="65">
                  <c:v>13</c:v>
                </c:pt>
                <c:pt idx="66">
                  <c:v>13.25</c:v>
                </c:pt>
                <c:pt idx="67">
                  <c:v>13.5</c:v>
                </c:pt>
                <c:pt idx="68">
                  <c:v>13.75</c:v>
                </c:pt>
                <c:pt idx="69">
                  <c:v>14</c:v>
                </c:pt>
                <c:pt idx="70">
                  <c:v>14.25</c:v>
                </c:pt>
                <c:pt idx="71">
                  <c:v>14.5</c:v>
                </c:pt>
                <c:pt idx="72">
                  <c:v>14.75</c:v>
                </c:pt>
                <c:pt idx="73">
                  <c:v>15</c:v>
                </c:pt>
                <c:pt idx="74">
                  <c:v>20</c:v>
                </c:pt>
                <c:pt idx="75">
                  <c:v>30</c:v>
                </c:pt>
                <c:pt idx="76">
                  <c:v>40</c:v>
                </c:pt>
                <c:pt idx="77">
                  <c:v>50</c:v>
                </c:pt>
              </c:numCache>
            </c:numRef>
          </c:xVal>
          <c:yVal>
            <c:numRef>
              <c:f>Summary!$N$69:$N$146</c:f>
              <c:numCache>
                <c:formatCode>General</c:formatCode>
                <c:ptCount val="78"/>
                <c:pt idx="0">
                  <c:v>1.6666666666666666E-3</c:v>
                </c:pt>
                <c:pt idx="1">
                  <c:v>3.3333333333333331E-3</c:v>
                </c:pt>
                <c:pt idx="2">
                  <c:v>4.9999999999999992E-3</c:v>
                </c:pt>
                <c:pt idx="3">
                  <c:v>6.6666666666666662E-3</c:v>
                </c:pt>
                <c:pt idx="4">
                  <c:v>8.3333333333333332E-3</c:v>
                </c:pt>
                <c:pt idx="5">
                  <c:v>9.9999999999999985E-3</c:v>
                </c:pt>
                <c:pt idx="6">
                  <c:v>1.1666666666666667E-2</c:v>
                </c:pt>
                <c:pt idx="7">
                  <c:v>1.3333333333333332E-2</c:v>
                </c:pt>
                <c:pt idx="8">
                  <c:v>1.4999999999999999E-2</c:v>
                </c:pt>
                <c:pt idx="9">
                  <c:v>1.6666666666666666E-2</c:v>
                </c:pt>
                <c:pt idx="10">
                  <c:v>1.9999999999999997E-2</c:v>
                </c:pt>
                <c:pt idx="11">
                  <c:v>2.3333333333333334E-2</c:v>
                </c:pt>
                <c:pt idx="12">
                  <c:v>2.6666666666666665E-2</c:v>
                </c:pt>
                <c:pt idx="13">
                  <c:v>3.3333333333333333E-2</c:v>
                </c:pt>
                <c:pt idx="14">
                  <c:v>4.1666666666666664E-2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0.16666666666666666</c:v>
                </c:pt>
                <c:pt idx="18">
                  <c:v>0.20833333333333331</c:v>
                </c:pt>
                <c:pt idx="19">
                  <c:v>0.25</c:v>
                </c:pt>
                <c:pt idx="20">
                  <c:v>0.29166666666666663</c:v>
                </c:pt>
                <c:pt idx="21">
                  <c:v>0.33333333333333331</c:v>
                </c:pt>
                <c:pt idx="22">
                  <c:v>0.375</c:v>
                </c:pt>
                <c:pt idx="23">
                  <c:v>0.41666666666666663</c:v>
                </c:pt>
                <c:pt idx="24">
                  <c:v>0.45833333333333331</c:v>
                </c:pt>
                <c:pt idx="25">
                  <c:v>0.5</c:v>
                </c:pt>
                <c:pt idx="26">
                  <c:v>0.54166666666666663</c:v>
                </c:pt>
                <c:pt idx="27">
                  <c:v>0.58333333333333326</c:v>
                </c:pt>
                <c:pt idx="28">
                  <c:v>0.625</c:v>
                </c:pt>
                <c:pt idx="29">
                  <c:v>0.66666666666666663</c:v>
                </c:pt>
                <c:pt idx="30">
                  <c:v>0.70833333333333326</c:v>
                </c:pt>
                <c:pt idx="31">
                  <c:v>0.75</c:v>
                </c:pt>
                <c:pt idx="32">
                  <c:v>0.79166666666666663</c:v>
                </c:pt>
                <c:pt idx="33">
                  <c:v>0.83333333333333326</c:v>
                </c:pt>
                <c:pt idx="34">
                  <c:v>0.875</c:v>
                </c:pt>
                <c:pt idx="35">
                  <c:v>0.91666666666666663</c:v>
                </c:pt>
                <c:pt idx="36">
                  <c:v>0.95833333333333326</c:v>
                </c:pt>
                <c:pt idx="37">
                  <c:v>1</c:v>
                </c:pt>
                <c:pt idx="38">
                  <c:v>1.0416666666666665</c:v>
                </c:pt>
                <c:pt idx="39">
                  <c:v>1.0833333333333333</c:v>
                </c:pt>
                <c:pt idx="40">
                  <c:v>1.125</c:v>
                </c:pt>
                <c:pt idx="41">
                  <c:v>1.1666666666666665</c:v>
                </c:pt>
                <c:pt idx="42">
                  <c:v>1.2083333333333333</c:v>
                </c:pt>
                <c:pt idx="43">
                  <c:v>1.25</c:v>
                </c:pt>
                <c:pt idx="44">
                  <c:v>1.2916666666666665</c:v>
                </c:pt>
                <c:pt idx="45">
                  <c:v>1.3333333333333333</c:v>
                </c:pt>
                <c:pt idx="46">
                  <c:v>1.375</c:v>
                </c:pt>
                <c:pt idx="47">
                  <c:v>1.4166666666666665</c:v>
                </c:pt>
                <c:pt idx="48">
                  <c:v>1.4583333333333333</c:v>
                </c:pt>
                <c:pt idx="49">
                  <c:v>1.5</c:v>
                </c:pt>
                <c:pt idx="50">
                  <c:v>1.5416666666666665</c:v>
                </c:pt>
                <c:pt idx="51">
                  <c:v>1.5833333333333333</c:v>
                </c:pt>
                <c:pt idx="52">
                  <c:v>1.625</c:v>
                </c:pt>
                <c:pt idx="53">
                  <c:v>1.6666666666666665</c:v>
                </c:pt>
                <c:pt idx="54">
                  <c:v>1.7083333333333333</c:v>
                </c:pt>
                <c:pt idx="55">
                  <c:v>1.75</c:v>
                </c:pt>
                <c:pt idx="56">
                  <c:v>1.7916666666666665</c:v>
                </c:pt>
                <c:pt idx="57">
                  <c:v>1.8333333333333333</c:v>
                </c:pt>
                <c:pt idx="58">
                  <c:v>1.875</c:v>
                </c:pt>
                <c:pt idx="59">
                  <c:v>1.9166666666666665</c:v>
                </c:pt>
                <c:pt idx="60">
                  <c:v>1.9583333333333333</c:v>
                </c:pt>
                <c:pt idx="61">
                  <c:v>2</c:v>
                </c:pt>
                <c:pt idx="62">
                  <c:v>2.0416666666666665</c:v>
                </c:pt>
                <c:pt idx="63">
                  <c:v>2.083333333333333</c:v>
                </c:pt>
                <c:pt idx="64">
                  <c:v>2.125</c:v>
                </c:pt>
                <c:pt idx="65">
                  <c:v>2.1666666666666665</c:v>
                </c:pt>
                <c:pt idx="66">
                  <c:v>2.208333333333333</c:v>
                </c:pt>
                <c:pt idx="67">
                  <c:v>2.25</c:v>
                </c:pt>
                <c:pt idx="68">
                  <c:v>2.2916666666666665</c:v>
                </c:pt>
                <c:pt idx="69">
                  <c:v>2.333333333333333</c:v>
                </c:pt>
                <c:pt idx="70">
                  <c:v>2.375</c:v>
                </c:pt>
                <c:pt idx="71">
                  <c:v>2.4166666666666665</c:v>
                </c:pt>
                <c:pt idx="72">
                  <c:v>2.458333333333333</c:v>
                </c:pt>
                <c:pt idx="73">
                  <c:v>2.5</c:v>
                </c:pt>
                <c:pt idx="74">
                  <c:v>3.333333333333333</c:v>
                </c:pt>
                <c:pt idx="75">
                  <c:v>5</c:v>
                </c:pt>
                <c:pt idx="76">
                  <c:v>6.6666666666666661</c:v>
                </c:pt>
                <c:pt idx="77">
                  <c:v>8.3333333333333321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E-4BBE-B3FB-792216CCC247}"/>
            </c:ext>
          </c:extLst>
        </c:ser>
        <c:ser>
          <c:idx val="3"/>
          <c:order val="1"/>
          <c:tx>
            <c:strRef>
              <c:f>Summary!$Q$68</c:f>
              <c:strCache>
                <c:ptCount val="1"/>
                <c:pt idx="0">
                  <c:v>(2) Navier-Stokes eq. with slip, L=∞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Summary!$P$69:$P$142</c:f>
              <c:numCache>
                <c:formatCode>General</c:formatCode>
                <c:ptCount val="7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</c:v>
                </c:pt>
                <c:pt idx="14">
                  <c:v>0.25</c:v>
                </c:pt>
                <c:pt idx="15">
                  <c:v>0.5</c:v>
                </c:pt>
                <c:pt idx="16">
                  <c:v>0.75</c:v>
                </c:pt>
                <c:pt idx="17">
                  <c:v>1</c:v>
                </c:pt>
                <c:pt idx="18">
                  <c:v>1.25</c:v>
                </c:pt>
                <c:pt idx="19">
                  <c:v>1.5</c:v>
                </c:pt>
                <c:pt idx="20">
                  <c:v>1.75</c:v>
                </c:pt>
                <c:pt idx="21">
                  <c:v>2</c:v>
                </c:pt>
                <c:pt idx="22">
                  <c:v>2.25</c:v>
                </c:pt>
                <c:pt idx="23">
                  <c:v>2.5</c:v>
                </c:pt>
                <c:pt idx="24">
                  <c:v>2.75</c:v>
                </c:pt>
                <c:pt idx="25">
                  <c:v>3</c:v>
                </c:pt>
                <c:pt idx="26">
                  <c:v>3.25</c:v>
                </c:pt>
                <c:pt idx="27">
                  <c:v>3.5</c:v>
                </c:pt>
                <c:pt idx="28">
                  <c:v>3.75</c:v>
                </c:pt>
                <c:pt idx="29">
                  <c:v>4</c:v>
                </c:pt>
                <c:pt idx="30">
                  <c:v>4.25</c:v>
                </c:pt>
                <c:pt idx="31">
                  <c:v>4.5</c:v>
                </c:pt>
                <c:pt idx="32">
                  <c:v>4.75</c:v>
                </c:pt>
                <c:pt idx="33">
                  <c:v>5</c:v>
                </c:pt>
                <c:pt idx="34">
                  <c:v>5.25</c:v>
                </c:pt>
                <c:pt idx="35">
                  <c:v>5.5</c:v>
                </c:pt>
                <c:pt idx="36">
                  <c:v>5.75</c:v>
                </c:pt>
                <c:pt idx="37">
                  <c:v>6</c:v>
                </c:pt>
                <c:pt idx="38">
                  <c:v>6.25</c:v>
                </c:pt>
                <c:pt idx="39">
                  <c:v>6.5</c:v>
                </c:pt>
                <c:pt idx="40">
                  <c:v>6.75</c:v>
                </c:pt>
                <c:pt idx="41">
                  <c:v>7</c:v>
                </c:pt>
                <c:pt idx="42">
                  <c:v>7.25</c:v>
                </c:pt>
                <c:pt idx="43">
                  <c:v>7.5</c:v>
                </c:pt>
                <c:pt idx="44">
                  <c:v>7.75</c:v>
                </c:pt>
                <c:pt idx="45">
                  <c:v>8</c:v>
                </c:pt>
                <c:pt idx="46">
                  <c:v>8.25</c:v>
                </c:pt>
                <c:pt idx="47">
                  <c:v>8.5</c:v>
                </c:pt>
                <c:pt idx="48">
                  <c:v>8.75</c:v>
                </c:pt>
                <c:pt idx="49">
                  <c:v>9</c:v>
                </c:pt>
                <c:pt idx="50">
                  <c:v>9.25</c:v>
                </c:pt>
                <c:pt idx="51">
                  <c:v>9.5</c:v>
                </c:pt>
                <c:pt idx="52">
                  <c:v>9.75</c:v>
                </c:pt>
                <c:pt idx="53">
                  <c:v>10</c:v>
                </c:pt>
                <c:pt idx="54">
                  <c:v>10.25</c:v>
                </c:pt>
                <c:pt idx="55">
                  <c:v>10.5</c:v>
                </c:pt>
                <c:pt idx="56">
                  <c:v>10.75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11.75</c:v>
                </c:pt>
                <c:pt idx="61">
                  <c:v>12</c:v>
                </c:pt>
                <c:pt idx="62">
                  <c:v>12.25</c:v>
                </c:pt>
                <c:pt idx="63">
                  <c:v>12.5</c:v>
                </c:pt>
                <c:pt idx="64">
                  <c:v>12.75</c:v>
                </c:pt>
                <c:pt idx="65">
                  <c:v>13</c:v>
                </c:pt>
                <c:pt idx="66">
                  <c:v>13.25</c:v>
                </c:pt>
                <c:pt idx="67">
                  <c:v>13.5</c:v>
                </c:pt>
                <c:pt idx="68">
                  <c:v>13.75</c:v>
                </c:pt>
                <c:pt idx="69">
                  <c:v>14</c:v>
                </c:pt>
                <c:pt idx="70">
                  <c:v>14.25</c:v>
                </c:pt>
                <c:pt idx="71">
                  <c:v>14.5</c:v>
                </c:pt>
                <c:pt idx="72">
                  <c:v>14.75</c:v>
                </c:pt>
                <c:pt idx="73">
                  <c:v>15</c:v>
                </c:pt>
              </c:numCache>
            </c:numRef>
          </c:xVal>
          <c:yVal>
            <c:numRef>
              <c:f>Summary!$Q$69:$Q$142</c:f>
              <c:numCache>
                <c:formatCode>General</c:formatCode>
                <c:ptCount val="74"/>
                <c:pt idx="0">
                  <c:v>1.1482666666666668</c:v>
                </c:pt>
                <c:pt idx="1">
                  <c:v>1.1499333333333335</c:v>
                </c:pt>
                <c:pt idx="2">
                  <c:v>1.1516</c:v>
                </c:pt>
                <c:pt idx="3">
                  <c:v>1.1532666666666667</c:v>
                </c:pt>
                <c:pt idx="4">
                  <c:v>1.1549333333333334</c:v>
                </c:pt>
                <c:pt idx="5">
                  <c:v>1.1566000000000001</c:v>
                </c:pt>
                <c:pt idx="6">
                  <c:v>1.1582666666666668</c:v>
                </c:pt>
                <c:pt idx="7">
                  <c:v>1.1599333333333335</c:v>
                </c:pt>
                <c:pt idx="8">
                  <c:v>1.1616</c:v>
                </c:pt>
                <c:pt idx="9">
                  <c:v>1.1632666666666667</c:v>
                </c:pt>
                <c:pt idx="10">
                  <c:v>1.1666000000000001</c:v>
                </c:pt>
                <c:pt idx="11">
                  <c:v>1.1699333333333335</c:v>
                </c:pt>
                <c:pt idx="12">
                  <c:v>1.1732666666666667</c:v>
                </c:pt>
                <c:pt idx="13">
                  <c:v>1.1799333333333335</c:v>
                </c:pt>
                <c:pt idx="14">
                  <c:v>1.1882666666666668</c:v>
                </c:pt>
                <c:pt idx="15">
                  <c:v>1.2299333333333333</c:v>
                </c:pt>
                <c:pt idx="16">
                  <c:v>1.2716000000000001</c:v>
                </c:pt>
                <c:pt idx="17">
                  <c:v>1.3132666666666668</c:v>
                </c:pt>
                <c:pt idx="18">
                  <c:v>1.3549333333333333</c:v>
                </c:pt>
                <c:pt idx="19">
                  <c:v>1.3966000000000001</c:v>
                </c:pt>
                <c:pt idx="20">
                  <c:v>1.4382666666666668</c:v>
                </c:pt>
                <c:pt idx="21">
                  <c:v>1.4799333333333333</c:v>
                </c:pt>
                <c:pt idx="22">
                  <c:v>1.5216000000000001</c:v>
                </c:pt>
                <c:pt idx="23">
                  <c:v>1.5632666666666668</c:v>
                </c:pt>
                <c:pt idx="24">
                  <c:v>1.6049333333333333</c:v>
                </c:pt>
                <c:pt idx="25">
                  <c:v>1.6466000000000001</c:v>
                </c:pt>
                <c:pt idx="26">
                  <c:v>1.6882666666666668</c:v>
                </c:pt>
                <c:pt idx="27">
                  <c:v>1.7299333333333333</c:v>
                </c:pt>
                <c:pt idx="28">
                  <c:v>1.7716000000000001</c:v>
                </c:pt>
                <c:pt idx="29">
                  <c:v>1.8132666666666668</c:v>
                </c:pt>
                <c:pt idx="30">
                  <c:v>1.8549333333333333</c:v>
                </c:pt>
                <c:pt idx="31">
                  <c:v>1.8966000000000001</c:v>
                </c:pt>
                <c:pt idx="32">
                  <c:v>1.9382666666666668</c:v>
                </c:pt>
                <c:pt idx="33">
                  <c:v>1.9799333333333333</c:v>
                </c:pt>
                <c:pt idx="34">
                  <c:v>2.0216000000000003</c:v>
                </c:pt>
                <c:pt idx="35">
                  <c:v>2.0632666666666668</c:v>
                </c:pt>
                <c:pt idx="36">
                  <c:v>2.1049333333333333</c:v>
                </c:pt>
                <c:pt idx="37">
                  <c:v>2.1466000000000003</c:v>
                </c:pt>
                <c:pt idx="38">
                  <c:v>2.1882666666666668</c:v>
                </c:pt>
                <c:pt idx="39">
                  <c:v>2.2299333333333333</c:v>
                </c:pt>
                <c:pt idx="40">
                  <c:v>2.2716000000000003</c:v>
                </c:pt>
                <c:pt idx="41">
                  <c:v>2.3132666666666668</c:v>
                </c:pt>
                <c:pt idx="42">
                  <c:v>2.3549333333333333</c:v>
                </c:pt>
                <c:pt idx="43">
                  <c:v>2.3966000000000003</c:v>
                </c:pt>
                <c:pt idx="44">
                  <c:v>2.4382666666666668</c:v>
                </c:pt>
                <c:pt idx="45">
                  <c:v>2.4799333333333333</c:v>
                </c:pt>
                <c:pt idx="46">
                  <c:v>2.5216000000000003</c:v>
                </c:pt>
                <c:pt idx="47">
                  <c:v>2.5632666666666668</c:v>
                </c:pt>
                <c:pt idx="48">
                  <c:v>2.6049333333333333</c:v>
                </c:pt>
                <c:pt idx="49">
                  <c:v>2.6466000000000003</c:v>
                </c:pt>
                <c:pt idx="50">
                  <c:v>2.6882666666666668</c:v>
                </c:pt>
                <c:pt idx="51">
                  <c:v>2.7299333333333333</c:v>
                </c:pt>
                <c:pt idx="52">
                  <c:v>2.7716000000000003</c:v>
                </c:pt>
                <c:pt idx="53">
                  <c:v>2.8132666666666668</c:v>
                </c:pt>
                <c:pt idx="54">
                  <c:v>2.8549333333333333</c:v>
                </c:pt>
                <c:pt idx="55">
                  <c:v>2.8966000000000003</c:v>
                </c:pt>
                <c:pt idx="56">
                  <c:v>2.9382666666666668</c:v>
                </c:pt>
                <c:pt idx="57">
                  <c:v>2.9799333333333333</c:v>
                </c:pt>
                <c:pt idx="58">
                  <c:v>3.0216000000000003</c:v>
                </c:pt>
                <c:pt idx="59">
                  <c:v>3.0632666666666668</c:v>
                </c:pt>
                <c:pt idx="60">
                  <c:v>3.1049333333333333</c:v>
                </c:pt>
                <c:pt idx="61">
                  <c:v>3.1466000000000003</c:v>
                </c:pt>
                <c:pt idx="62">
                  <c:v>3.1882666666666664</c:v>
                </c:pt>
                <c:pt idx="63">
                  <c:v>3.2299333333333333</c:v>
                </c:pt>
                <c:pt idx="64">
                  <c:v>3.2716000000000003</c:v>
                </c:pt>
                <c:pt idx="65">
                  <c:v>3.3132666666666664</c:v>
                </c:pt>
                <c:pt idx="66">
                  <c:v>3.3549333333333333</c:v>
                </c:pt>
                <c:pt idx="67">
                  <c:v>3.3966000000000003</c:v>
                </c:pt>
                <c:pt idx="68">
                  <c:v>3.4382666666666664</c:v>
                </c:pt>
                <c:pt idx="69">
                  <c:v>3.4799333333333333</c:v>
                </c:pt>
                <c:pt idx="70">
                  <c:v>3.5216000000000003</c:v>
                </c:pt>
                <c:pt idx="71">
                  <c:v>3.5632666666666664</c:v>
                </c:pt>
                <c:pt idx="72">
                  <c:v>3.6049333333333333</c:v>
                </c:pt>
                <c:pt idx="73">
                  <c:v>3.6466000000000003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E-4BBE-B3FB-792216CCC247}"/>
            </c:ext>
          </c:extLst>
        </c:ser>
        <c:ser>
          <c:idx val="2"/>
          <c:order val="2"/>
          <c:tx>
            <c:strRef>
              <c:f>Summary!$O$68</c:f>
              <c:strCache>
                <c:ptCount val="1"/>
                <c:pt idx="0">
                  <c:v>(3) Solution for Kn&lt;&lt;1 (Cercignani, 1975), L=∞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Summary!$P$83:$P$142</c:f>
              <c:numCache>
                <c:formatCode>General</c:formatCode>
                <c:ptCount val="6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</c:numCache>
            </c:numRef>
          </c:xVal>
          <c:yVal>
            <c:numRef>
              <c:f>Summary!$O$83:$O$142</c:f>
              <c:numCache>
                <c:formatCode>General</c:formatCode>
                <c:ptCount val="60"/>
                <c:pt idx="0">
                  <c:v>6.6128409677260169</c:v>
                </c:pt>
                <c:pt idx="1">
                  <c:v>3.9422204838630086</c:v>
                </c:pt>
                <c:pt idx="2">
                  <c:v>3.0797914336864505</c:v>
                </c:pt>
                <c:pt idx="3">
                  <c:v>2.6694102419315042</c:v>
                </c:pt>
                <c:pt idx="4">
                  <c:v>2.4398481935452034</c:v>
                </c:pt>
                <c:pt idx="5">
                  <c:v>2.3006957168432249</c:v>
                </c:pt>
                <c:pt idx="6">
                  <c:v>2.2132058525322882</c:v>
                </c:pt>
                <c:pt idx="7">
                  <c:v>2.1580051209657523</c:v>
                </c:pt>
                <c:pt idx="8">
                  <c:v>2.1243304778954837</c:v>
                </c:pt>
                <c:pt idx="9">
                  <c:v>2.1057240967726019</c:v>
                </c:pt>
                <c:pt idx="10">
                  <c:v>2.0980764516114561</c:v>
                </c:pt>
                <c:pt idx="11">
                  <c:v>2.0986478584216126</c:v>
                </c:pt>
                <c:pt idx="12">
                  <c:v>2.1055416129020017</c:v>
                </c:pt>
                <c:pt idx="13">
                  <c:v>2.117402926266144</c:v>
                </c:pt>
                <c:pt idx="14">
                  <c:v>2.1332382867372903</c:v>
                </c:pt>
                <c:pt idx="15">
                  <c:v>2.1523025604828763</c:v>
                </c:pt>
                <c:pt idx="16">
                  <c:v>2.174025939278001</c:v>
                </c:pt>
                <c:pt idx="17">
                  <c:v>2.1979652389477415</c:v>
                </c:pt>
                <c:pt idx="18">
                  <c:v>2.2237705772487377</c:v>
                </c:pt>
                <c:pt idx="19">
                  <c:v>2.2511620483863011</c:v>
                </c:pt>
                <c:pt idx="20">
                  <c:v>2.2799130619552073</c:v>
                </c:pt>
                <c:pt idx="21">
                  <c:v>2.3098382258057284</c:v>
                </c:pt>
                <c:pt idx="22">
                  <c:v>2.3407843899011311</c:v>
                </c:pt>
                <c:pt idx="23">
                  <c:v>2.3726239292108064</c:v>
                </c:pt>
                <c:pt idx="24">
                  <c:v>2.4052496387090403</c:v>
                </c:pt>
                <c:pt idx="25">
                  <c:v>2.4385708064510005</c:v>
                </c:pt>
                <c:pt idx="26">
                  <c:v>2.4725101592984946</c:v>
                </c:pt>
                <c:pt idx="27">
                  <c:v>2.5070014631330717</c:v>
                </c:pt>
                <c:pt idx="28">
                  <c:v>2.541987619576759</c:v>
                </c:pt>
                <c:pt idx="29">
                  <c:v>2.5774191433686453</c:v>
                </c:pt>
                <c:pt idx="30">
                  <c:v>2.6132529344427744</c:v>
                </c:pt>
                <c:pt idx="31">
                  <c:v>2.6494512802414381</c:v>
                </c:pt>
                <c:pt idx="32">
                  <c:v>2.6859810394260411</c:v>
                </c:pt>
                <c:pt idx="33">
                  <c:v>2.7228129696390004</c:v>
                </c:pt>
                <c:pt idx="34">
                  <c:v>2.7599211705064577</c:v>
                </c:pt>
                <c:pt idx="35">
                  <c:v>2.7972826194738714</c:v>
                </c:pt>
                <c:pt idx="36">
                  <c:v>2.8348767829115138</c:v>
                </c:pt>
                <c:pt idx="37">
                  <c:v>2.872685288624369</c:v>
                </c:pt>
                <c:pt idx="38">
                  <c:v>2.9106916487451118</c:v>
                </c:pt>
                <c:pt idx="39">
                  <c:v>2.9488810241931502</c:v>
                </c:pt>
                <c:pt idx="40">
                  <c:v>2.9872400236030736</c:v>
                </c:pt>
                <c:pt idx="41">
                  <c:v>3.025756530977604</c:v>
                </c:pt>
                <c:pt idx="42">
                  <c:v>3.0644195573889768</c:v>
                </c:pt>
                <c:pt idx="43">
                  <c:v>3.1032191129028641</c:v>
                </c:pt>
                <c:pt idx="44">
                  <c:v>3.142146095579097</c:v>
                </c:pt>
                <c:pt idx="45">
                  <c:v>3.1811921949505653</c:v>
                </c:pt>
                <c:pt idx="46">
                  <c:v>3.2203498078239576</c:v>
                </c:pt>
                <c:pt idx="47">
                  <c:v>3.2596119646054036</c:v>
                </c:pt>
                <c:pt idx="48">
                  <c:v>3.2989722646474693</c:v>
                </c:pt>
                <c:pt idx="49">
                  <c:v>3.3384248193545205</c:v>
                </c:pt>
                <c:pt idx="50">
                  <c:v>3.3779642019815563</c:v>
                </c:pt>
                <c:pt idx="51">
                  <c:v>3.4175854032255</c:v>
                </c:pt>
                <c:pt idx="52">
                  <c:v>3.4572837918438872</c:v>
                </c:pt>
                <c:pt idx="53">
                  <c:v>3.4970550796492477</c:v>
                </c:pt>
                <c:pt idx="54">
                  <c:v>3.536895290322291</c:v>
                </c:pt>
                <c:pt idx="55">
                  <c:v>3.5768007315665362</c:v>
                </c:pt>
                <c:pt idx="56">
                  <c:v>3.6167679701940241</c:v>
                </c:pt>
                <c:pt idx="57">
                  <c:v>3.6567938097883794</c:v>
                </c:pt>
                <c:pt idx="58">
                  <c:v>3.6968752706394241</c:v>
                </c:pt>
                <c:pt idx="59">
                  <c:v>3.7370095716843226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E-4BBE-B3FB-792216CCC247}"/>
            </c:ext>
          </c:extLst>
        </c:ser>
        <c:ser>
          <c:idx val="4"/>
          <c:order val="3"/>
          <c:tx>
            <c:strRef>
              <c:f>Summary!$B$102</c:f>
              <c:strCache>
                <c:ptCount val="1"/>
                <c:pt idx="0">
                  <c:v>(4) BGK (Cercignani, Pagani, 1966), L=∞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Summary!$E$103:$E$148</c:f>
              <c:numCache>
                <c:formatCode>General</c:formatCode>
                <c:ptCount val="46"/>
                <c:pt idx="0">
                  <c:v>1.1283791670955126E-2</c:v>
                </c:pt>
                <c:pt idx="1">
                  <c:v>2.2567583341910252E-2</c:v>
                </c:pt>
                <c:pt idx="2">
                  <c:v>3.3851375012865378E-2</c:v>
                </c:pt>
                <c:pt idx="3">
                  <c:v>4.5135166683820505E-2</c:v>
                </c:pt>
                <c:pt idx="4">
                  <c:v>5.6418958354775638E-2</c:v>
                </c:pt>
                <c:pt idx="5">
                  <c:v>6.7702750025730757E-2</c:v>
                </c:pt>
                <c:pt idx="6">
                  <c:v>7.8986541696685897E-2</c:v>
                </c:pt>
                <c:pt idx="7">
                  <c:v>9.0270333367641009E-2</c:v>
                </c:pt>
                <c:pt idx="8">
                  <c:v>0.10155412503859614</c:v>
                </c:pt>
                <c:pt idx="9">
                  <c:v>0.11283791670955128</c:v>
                </c:pt>
                <c:pt idx="10">
                  <c:v>0.22567583341910255</c:v>
                </c:pt>
                <c:pt idx="11">
                  <c:v>0.33851375012865381</c:v>
                </c:pt>
                <c:pt idx="12">
                  <c:v>0.4513516668382051</c:v>
                </c:pt>
                <c:pt idx="13">
                  <c:v>0.56418958354775628</c:v>
                </c:pt>
                <c:pt idx="14">
                  <c:v>0.67702750025730762</c:v>
                </c:pt>
                <c:pt idx="15">
                  <c:v>0.78986541696685886</c:v>
                </c:pt>
                <c:pt idx="16">
                  <c:v>0.9027033336764102</c:v>
                </c:pt>
                <c:pt idx="17">
                  <c:v>1.0155412503859613</c:v>
                </c:pt>
                <c:pt idx="18">
                  <c:v>1.1283791670955126</c:v>
                </c:pt>
                <c:pt idx="19">
                  <c:v>1.241217083805064</c:v>
                </c:pt>
                <c:pt idx="20">
                  <c:v>1.3540550005146152</c:v>
                </c:pt>
                <c:pt idx="21">
                  <c:v>1.4668929172241665</c:v>
                </c:pt>
                <c:pt idx="22">
                  <c:v>1.5797308339337177</c:v>
                </c:pt>
                <c:pt idx="23">
                  <c:v>1.6925687506432689</c:v>
                </c:pt>
                <c:pt idx="24">
                  <c:v>1.8054066673528204</c:v>
                </c:pt>
                <c:pt idx="25">
                  <c:v>1.9182445840623714</c:v>
                </c:pt>
                <c:pt idx="26">
                  <c:v>2.0310825007719226</c:v>
                </c:pt>
                <c:pt idx="27">
                  <c:v>2.1439204174814739</c:v>
                </c:pt>
                <c:pt idx="28">
                  <c:v>2.2567583341910251</c:v>
                </c:pt>
                <c:pt idx="29">
                  <c:v>2.8209479177387817</c:v>
                </c:pt>
                <c:pt idx="30">
                  <c:v>3.3851375012865379</c:v>
                </c:pt>
                <c:pt idx="31">
                  <c:v>3.9493270848342945</c:v>
                </c:pt>
                <c:pt idx="32">
                  <c:v>4.5135166683820502</c:v>
                </c:pt>
                <c:pt idx="33">
                  <c:v>5.0777062519298068</c:v>
                </c:pt>
                <c:pt idx="34">
                  <c:v>5.6418958354775635</c:v>
                </c:pt>
                <c:pt idx="35">
                  <c:v>6.2060854190253201</c:v>
                </c:pt>
                <c:pt idx="36">
                  <c:v>6.7702750025730758</c:v>
                </c:pt>
                <c:pt idx="37">
                  <c:v>7.3344645861208324</c:v>
                </c:pt>
                <c:pt idx="38">
                  <c:v>7.898654169668589</c:v>
                </c:pt>
                <c:pt idx="39">
                  <c:v>8.4628437532163456</c:v>
                </c:pt>
                <c:pt idx="40">
                  <c:v>9.0270333367641005</c:v>
                </c:pt>
                <c:pt idx="41">
                  <c:v>9.5912229203118571</c:v>
                </c:pt>
                <c:pt idx="42">
                  <c:v>10.155412503859614</c:v>
                </c:pt>
                <c:pt idx="43">
                  <c:v>10.71960208740737</c:v>
                </c:pt>
                <c:pt idx="44">
                  <c:v>11.283791670955127</c:v>
                </c:pt>
                <c:pt idx="45">
                  <c:v>11.847981254502884</c:v>
                </c:pt>
              </c:numCache>
            </c:numRef>
          </c:xVal>
          <c:yVal>
            <c:numRef>
              <c:f>Summary!$D$103:$D$148</c:f>
              <c:numCache>
                <c:formatCode>General</c:formatCode>
                <c:ptCount val="46"/>
                <c:pt idx="0">
                  <c:v>3.4403152425575088</c:v>
                </c:pt>
                <c:pt idx="1">
                  <c:v>3.0586974082458065</c:v>
                </c:pt>
                <c:pt idx="2">
                  <c:v>2.8473519902488169</c:v>
                </c:pt>
                <c:pt idx="3">
                  <c:v>2.7040478360276863</c:v>
                </c:pt>
                <c:pt idx="4">
                  <c:v>2.597077490987032</c:v>
                </c:pt>
                <c:pt idx="5">
                  <c:v>2.5069199955361001</c:v>
                </c:pt>
                <c:pt idx="6">
                  <c:v>2.4435050863453327</c:v>
                </c:pt>
                <c:pt idx="7">
                  <c:v>2.3853935592399136</c:v>
                </c:pt>
                <c:pt idx="8">
                  <c:v>2.3355192000542919</c:v>
                </c:pt>
                <c:pt idx="9">
                  <c:v>2.2921894400378244</c:v>
                </c:pt>
                <c:pt idx="10">
                  <c:v>2.0399966961919773</c:v>
                </c:pt>
                <c:pt idx="11">
                  <c:v>1.9286256723996502</c:v>
                </c:pt>
                <c:pt idx="12">
                  <c:v>1.8514445373703172</c:v>
                </c:pt>
                <c:pt idx="13">
                  <c:v>1.8073249119368826</c:v>
                </c:pt>
                <c:pt idx="14">
                  <c:v>1.7784384052592377</c:v>
                </c:pt>
                <c:pt idx="15">
                  <c:v>1.7592559594186137</c:v>
                </c:pt>
                <c:pt idx="16">
                  <c:v>1.7469566264972727</c:v>
                </c:pt>
                <c:pt idx="17">
                  <c:v>1.7395093239944424</c:v>
                </c:pt>
                <c:pt idx="18">
                  <c:v>1.7364627002432844</c:v>
                </c:pt>
                <c:pt idx="19">
                  <c:v>1.7353343210761889</c:v>
                </c:pt>
                <c:pt idx="20">
                  <c:v>1.7370268898268324</c:v>
                </c:pt>
                <c:pt idx="21">
                  <c:v>1.7407505410782473</c:v>
                </c:pt>
                <c:pt idx="22">
                  <c:v>1.7459410852468866</c:v>
                </c:pt>
                <c:pt idx="23">
                  <c:v>1.7523728464993311</c:v>
                </c:pt>
                <c:pt idx="24">
                  <c:v>1.7600458248355808</c:v>
                </c:pt>
                <c:pt idx="25">
                  <c:v>1.7686215065055064</c:v>
                </c:pt>
                <c:pt idx="26">
                  <c:v>1.7779870535923994</c:v>
                </c:pt>
                <c:pt idx="27">
                  <c:v>1.7881424660962588</c:v>
                </c:pt>
                <c:pt idx="28">
                  <c:v>1.7988620681836665</c:v>
                </c:pt>
                <c:pt idx="29">
                  <c:v>1.8595688673734048</c:v>
                </c:pt>
                <c:pt idx="30">
                  <c:v>1.9286256723996502</c:v>
                </c:pt>
                <c:pt idx="31">
                  <c:v>2.0029858595112446</c:v>
                </c:pt>
                <c:pt idx="32">
                  <c:v>2.0807311841241254</c:v>
                </c:pt>
                <c:pt idx="33">
                  <c:v>2.1611846187380355</c:v>
                </c:pt>
                <c:pt idx="34">
                  <c:v>2.2435562979360077</c:v>
                </c:pt>
                <c:pt idx="35">
                  <c:v>2.3275077079679138</c:v>
                </c:pt>
                <c:pt idx="36">
                  <c:v>2.4125874971669159</c:v>
                </c:pt>
                <c:pt idx="37">
                  <c:v>2.4986828276163031</c:v>
                </c:pt>
                <c:pt idx="38">
                  <c:v>2.5855680234826575</c:v>
                </c:pt>
                <c:pt idx="39">
                  <c:v>2.6731302468492699</c:v>
                </c:pt>
                <c:pt idx="40">
                  <c:v>2.7613694977161387</c:v>
                </c:pt>
                <c:pt idx="41">
                  <c:v>2.8500601002498458</c:v>
                </c:pt>
                <c:pt idx="42">
                  <c:v>2.9392020544503912</c:v>
                </c:pt>
                <c:pt idx="43">
                  <c:v>2.9384121890334245</c:v>
                </c:pt>
                <c:pt idx="44">
                  <c:v>3.1186143420185779</c:v>
                </c:pt>
                <c:pt idx="45">
                  <c:v>3.2088846753862188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E-4BBE-B3FB-792216CCC247}"/>
            </c:ext>
          </c:extLst>
        </c:ser>
        <c:ser>
          <c:idx val="7"/>
          <c:order val="4"/>
          <c:tx>
            <c:strRef>
              <c:f>Summary!$F$178</c:f>
              <c:strCache>
                <c:ptCount val="1"/>
                <c:pt idx="0">
                  <c:v>(5) BGK (Cercignani, Neudachin, 1979), L=30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Summary!$H$181:$H$194</c:f>
              <c:numCache>
                <c:formatCode>General</c:formatCode>
                <c:ptCount val="14"/>
                <c:pt idx="0">
                  <c:v>3.0365306786882883E-3</c:v>
                </c:pt>
                <c:pt idx="1">
                  <c:v>1.1306154205622311E-2</c:v>
                </c:pt>
                <c:pt idx="2">
                  <c:v>2.5358978618061245E-2</c:v>
                </c:pt>
                <c:pt idx="3">
                  <c:v>5.2547831830448088E-2</c:v>
                </c:pt>
                <c:pt idx="4">
                  <c:v>9.6691240387863461E-2</c:v>
                </c:pt>
                <c:pt idx="5">
                  <c:v>0.1696614507446832</c:v>
                </c:pt>
                <c:pt idx="6">
                  <c:v>0.26435559546062132</c:v>
                </c:pt>
                <c:pt idx="7">
                  <c:v>0.40223114532988807</c:v>
                </c:pt>
                <c:pt idx="8">
                  <c:v>0.5790115373344783</c:v>
                </c:pt>
                <c:pt idx="9">
                  <c:v>1.1623923356485302</c:v>
                </c:pt>
                <c:pt idx="10">
                  <c:v>2.777695517608568</c:v>
                </c:pt>
                <c:pt idx="11">
                  <c:v>5.2756319752069105</c:v>
                </c:pt>
                <c:pt idx="12">
                  <c:v>8.0271555744033964</c:v>
                </c:pt>
                <c:pt idx="13">
                  <c:v>11.555086530523312</c:v>
                </c:pt>
              </c:numCache>
            </c:numRef>
          </c:xVal>
          <c:yVal>
            <c:numRef>
              <c:f>Summary!$G$181:$G$194</c:f>
              <c:numCache>
                <c:formatCode>General</c:formatCode>
                <c:ptCount val="14"/>
                <c:pt idx="0">
                  <c:v>2.479648046209892</c:v>
                </c:pt>
                <c:pt idx="1">
                  <c:v>2.4429408967617849</c:v>
                </c:pt>
                <c:pt idx="2">
                  <c:v>2.3801437104871837</c:v>
                </c:pt>
                <c:pt idx="3">
                  <c:v>2.3025303286234711</c:v>
                </c:pt>
                <c:pt idx="4">
                  <c:v>2.1970557327574007</c:v>
                </c:pt>
                <c:pt idx="5">
                  <c:v>2.0856108767479671</c:v>
                </c:pt>
                <c:pt idx="6">
                  <c:v>1.9662056738807172</c:v>
                </c:pt>
                <c:pt idx="7">
                  <c:v>1.8686914248724624</c:v>
                </c:pt>
                <c:pt idx="8">
                  <c:v>1.7970483031521127</c:v>
                </c:pt>
                <c:pt idx="9">
                  <c:v>1.7489877089980448</c:v>
                </c:pt>
                <c:pt idx="10">
                  <c:v>1.873109417378551</c:v>
                </c:pt>
                <c:pt idx="11">
                  <c:v>2.2454745425200704</c:v>
                </c:pt>
                <c:pt idx="12">
                  <c:v>2.6607459372252209</c:v>
                </c:pt>
                <c:pt idx="13">
                  <c:v>3.1594616678674354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4E-4BBE-B3FB-792216CCC247}"/>
            </c:ext>
          </c:extLst>
        </c:ser>
        <c:ser>
          <c:idx val="5"/>
          <c:order val="5"/>
          <c:tx>
            <c:strRef>
              <c:f>Summary!$L$177</c:f>
              <c:strCache>
                <c:ptCount val="1"/>
                <c:pt idx="0">
                  <c:v>(6) BGK (Cercignani, Neudachin, 1979), L=10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Summary!$N$181:$N$194</c:f>
              <c:numCache>
                <c:formatCode>General</c:formatCode>
                <c:ptCount val="14"/>
                <c:pt idx="0">
                  <c:v>3.0365306786882883E-3</c:v>
                </c:pt>
                <c:pt idx="1">
                  <c:v>1.1306154205622311E-2</c:v>
                </c:pt>
                <c:pt idx="2">
                  <c:v>2.5358978618061245E-2</c:v>
                </c:pt>
                <c:pt idx="3">
                  <c:v>5.2547831830448088E-2</c:v>
                </c:pt>
                <c:pt idx="4">
                  <c:v>9.6691240387863461E-2</c:v>
                </c:pt>
                <c:pt idx="5">
                  <c:v>0.1696614507446832</c:v>
                </c:pt>
                <c:pt idx="6">
                  <c:v>0.26435559546062132</c:v>
                </c:pt>
                <c:pt idx="7">
                  <c:v>0.40223114532988807</c:v>
                </c:pt>
                <c:pt idx="8">
                  <c:v>0.5790115373344783</c:v>
                </c:pt>
                <c:pt idx="9">
                  <c:v>0.9027033336764102</c:v>
                </c:pt>
                <c:pt idx="10">
                  <c:v>1.3540550005146152</c:v>
                </c:pt>
                <c:pt idx="11">
                  <c:v>2.777695517608568</c:v>
                </c:pt>
                <c:pt idx="12">
                  <c:v>5.2756319752069105</c:v>
                </c:pt>
                <c:pt idx="13">
                  <c:v>8.0271555744033964</c:v>
                </c:pt>
              </c:numCache>
            </c:numRef>
          </c:xVal>
          <c:yVal>
            <c:numRef>
              <c:f>Summary!$M$181:$M$194</c:f>
              <c:numCache>
                <c:formatCode>General</c:formatCode>
                <c:ptCount val="14"/>
                <c:pt idx="0">
                  <c:v>1.7997647715173426</c:v>
                </c:pt>
                <c:pt idx="1">
                  <c:v>1.7997647715173426</c:v>
                </c:pt>
                <c:pt idx="2">
                  <c:v>1.7941228756818652</c:v>
                </c:pt>
                <c:pt idx="3">
                  <c:v>1.7828390840109101</c:v>
                </c:pt>
                <c:pt idx="4">
                  <c:v>1.7715552923399549</c:v>
                </c:pt>
                <c:pt idx="5">
                  <c:v>1.7602715006689997</c:v>
                </c:pt>
                <c:pt idx="6">
                  <c:v>1.7546296048335221</c:v>
                </c:pt>
                <c:pt idx="7">
                  <c:v>1.7377039173270896</c:v>
                </c:pt>
                <c:pt idx="8">
                  <c:v>1.7264201256561345</c:v>
                </c:pt>
                <c:pt idx="9">
                  <c:v>1.7151363339851793</c:v>
                </c:pt>
                <c:pt idx="10">
                  <c:v>1.7264201256561345</c:v>
                </c:pt>
                <c:pt idx="11">
                  <c:v>1.873109417378551</c:v>
                </c:pt>
                <c:pt idx="12">
                  <c:v>2.2454745425200704</c:v>
                </c:pt>
                <c:pt idx="13">
                  <c:v>2.6607459372252209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4E-4BBE-B3FB-792216CCC247}"/>
            </c:ext>
          </c:extLst>
        </c:ser>
        <c:ser>
          <c:idx val="6"/>
          <c:order val="6"/>
          <c:tx>
            <c:strRef>
              <c:f>Summary!$E$236</c:f>
              <c:strCache>
                <c:ptCount val="1"/>
                <c:pt idx="0">
                  <c:v>(7) EDMD, L=30, Statement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Summary!$Z$240:$Z$253</c:f>
              <c:numCache>
                <c:formatCode>General</c:formatCode>
                <c:ptCount val="14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0.125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3.0303030303030303</c:v>
                </c:pt>
              </c:numCache>
            </c:numRef>
          </c:xVal>
          <c:yVal>
            <c:numRef>
              <c:f>Summary!$BV$240:$BV$253</c:f>
              <c:numCache>
                <c:formatCode>General</c:formatCode>
                <c:ptCount val="14"/>
                <c:pt idx="0">
                  <c:v>2.4873162236482669</c:v>
                </c:pt>
                <c:pt idx="1">
                  <c:v>2.4367106744144293</c:v>
                </c:pt>
                <c:pt idx="2">
                  <c:v>2.3789415076101434</c:v>
                </c:pt>
                <c:pt idx="3">
                  <c:v>2.3174838591868907</c:v>
                </c:pt>
                <c:pt idx="4">
                  <c:v>2.1587945817753575</c:v>
                </c:pt>
                <c:pt idx="5">
                  <c:v>2.1498035679858694</c:v>
                </c:pt>
                <c:pt idx="6">
                  <c:v>2.110822550185242</c:v>
                </c:pt>
                <c:pt idx="7">
                  <c:v>2.0013739190372246</c:v>
                </c:pt>
                <c:pt idx="8">
                  <c:v>2.0010903599790799</c:v>
                </c:pt>
                <c:pt idx="9">
                  <c:v>1.8752277134227022</c:v>
                </c:pt>
                <c:pt idx="11">
                  <c:v>1.7658565496845167</c:v>
                </c:pt>
                <c:pt idx="12">
                  <c:v>1.8417566254182243</c:v>
                </c:pt>
                <c:pt idx="13">
                  <c:v>1.9696944299656494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4E-4BBE-B3FB-792216CCC247}"/>
            </c:ext>
          </c:extLst>
        </c:ser>
        <c:ser>
          <c:idx val="1"/>
          <c:order val="7"/>
          <c:tx>
            <c:strRef>
              <c:f>Summary!$B$260</c:f>
              <c:strCache>
                <c:ptCount val="1"/>
                <c:pt idx="0">
                  <c:v>(8) EDMD, L=10, Statement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Summary!$D$262:$D$272</c:f>
              <c:numCache>
                <c:formatCode>General</c:formatCode>
                <c:ptCount val="11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3.0303030303030303</c:v>
                </c:pt>
              </c:numCache>
            </c:numRef>
          </c:xVal>
          <c:yVal>
            <c:numRef>
              <c:f>Summary!$S$262:$S$272</c:f>
              <c:numCache>
                <c:formatCode>General</c:formatCode>
                <c:ptCount val="11"/>
                <c:pt idx="0">
                  <c:v>2.0626824876705387</c:v>
                </c:pt>
                <c:pt idx="1">
                  <c:v>1.9947017082524414</c:v>
                </c:pt>
                <c:pt idx="2">
                  <c:v>2.0019068480644013</c:v>
                </c:pt>
                <c:pt idx="3">
                  <c:v>1.9756256114290456</c:v>
                </c:pt>
                <c:pt idx="4">
                  <c:v>1.963509947168729</c:v>
                </c:pt>
                <c:pt idx="5">
                  <c:v>1.8830625816698923</c:v>
                </c:pt>
                <c:pt idx="6">
                  <c:v>1.8213209179196863</c:v>
                </c:pt>
                <c:pt idx="7">
                  <c:v>1.7963081855909599</c:v>
                </c:pt>
                <c:pt idx="8">
                  <c:v>1.7205219599260182</c:v>
                </c:pt>
                <c:pt idx="9">
                  <c:v>1.7929560819457535</c:v>
                </c:pt>
                <c:pt idx="10">
                  <c:v>1.8796058569737273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4E-4BBE-B3FB-792216CCC247}"/>
            </c:ext>
          </c:extLst>
        </c:ser>
        <c:ser>
          <c:idx val="8"/>
          <c:order val="8"/>
          <c:tx>
            <c:v>EDMD, L=30, s1 new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Summary!$Z$240:$Z$249</c:f>
              <c:numCache>
                <c:formatCode>General</c:formatCode>
                <c:ptCount val="10"/>
                <c:pt idx="0">
                  <c:v>0.01</c:v>
                </c:pt>
                <c:pt idx="1">
                  <c:v>1.5384615384615385E-2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0.125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0.5</c:v>
                </c:pt>
              </c:numCache>
            </c:numRef>
          </c:xVal>
          <c:yVal>
            <c:numRef>
              <c:f>Summary!$CE$240:$CE$249</c:f>
              <c:numCache>
                <c:formatCode>General</c:formatCode>
                <c:ptCount val="10"/>
                <c:pt idx="0">
                  <c:v>2.611081887137261</c:v>
                </c:pt>
                <c:pt idx="1">
                  <c:v>2.6019375205123039</c:v>
                </c:pt>
                <c:pt idx="2">
                  <c:v>2.6603756442249895</c:v>
                </c:pt>
                <c:pt idx="3">
                  <c:v>2.3611315725205357</c:v>
                </c:pt>
                <c:pt idx="4">
                  <c:v>2.1116829848820835</c:v>
                </c:pt>
                <c:pt idx="5">
                  <c:v>2.2544564083317691</c:v>
                </c:pt>
                <c:pt idx="6">
                  <c:v>2.1623293604677385</c:v>
                </c:pt>
                <c:pt idx="7">
                  <c:v>1.968066473102249</c:v>
                </c:pt>
                <c:pt idx="8">
                  <c:v>1.6542983993361682</c:v>
                </c:pt>
                <c:pt idx="9">
                  <c:v>1.9169417129266173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4E-4BBE-B3FB-792216CC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0736"/>
        <c:axId val="724785088"/>
      </c:scatterChart>
      <c:valAx>
        <c:axId val="724780736"/>
        <c:scaling>
          <c:logBase val="10"/>
          <c:orientation val="minMax"/>
          <c:max val="2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85088"/>
        <c:crossesAt val="0"/>
        <c:crossBetween val="midCat"/>
      </c:valAx>
      <c:valAx>
        <c:axId val="72478508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724780736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789058625736299E-2"/>
          <c:y val="0.61300556251115068"/>
          <c:w val="0.74267297233007168"/>
          <c:h val="0.21844088066265718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'Март 2018'!$V$47:$V$62</c:f>
              <c:numCache>
                <c:formatCode>General</c:formatCode>
                <c:ptCount val="16"/>
                <c:pt idx="0">
                  <c:v>10</c:v>
                </c:pt>
                <c:pt idx="1">
                  <c:v>6.25</c:v>
                </c:pt>
                <c:pt idx="2">
                  <c:v>3.8461538461538458</c:v>
                </c:pt>
                <c:pt idx="3">
                  <c:v>2.4390243902439024</c:v>
                </c:pt>
                <c:pt idx="4">
                  <c:v>1.5151515151515151</c:v>
                </c:pt>
                <c:pt idx="5">
                  <c:v>0.95238095238095233</c:v>
                </c:pt>
                <c:pt idx="6">
                  <c:v>0.59523809523809523</c:v>
                </c:pt>
                <c:pt idx="7">
                  <c:v>0.37313432835820892</c:v>
                </c:pt>
                <c:pt idx="8">
                  <c:v>0.23310023310023309</c:v>
                </c:pt>
                <c:pt idx="9">
                  <c:v>0.14556040756914118</c:v>
                </c:pt>
                <c:pt idx="10">
                  <c:v>9.0909090909090912E-2</c:v>
                </c:pt>
                <c:pt idx="11">
                  <c:v>5.6850483229107449E-2</c:v>
                </c:pt>
                <c:pt idx="12">
                  <c:v>3.5523978685612793E-2</c:v>
                </c:pt>
                <c:pt idx="13">
                  <c:v>2.2202486678507993E-2</c:v>
                </c:pt>
                <c:pt idx="14">
                  <c:v>1.3877324451845684E-2</c:v>
                </c:pt>
                <c:pt idx="15">
                  <c:v>8.6737791655824431E-3</c:v>
                </c:pt>
              </c:numCache>
            </c:numRef>
          </c:xVal>
          <c:yVal>
            <c:numRef>
              <c:f>'Март 2018'!$AF$47:$AF$62</c:f>
              <c:numCache>
                <c:formatCode>General</c:formatCode>
                <c:ptCount val="16"/>
                <c:pt idx="0">
                  <c:v>2.8059999999999999E-3</c:v>
                </c:pt>
                <c:pt idx="1">
                  <c:v>3.16E-3</c:v>
                </c:pt>
                <c:pt idx="2">
                  <c:v>3.728E-3</c:v>
                </c:pt>
                <c:pt idx="3">
                  <c:v>4.5830000000000003E-3</c:v>
                </c:pt>
                <c:pt idx="4">
                  <c:v>5.0699999999999999E-3</c:v>
                </c:pt>
                <c:pt idx="5">
                  <c:v>5.947E-3</c:v>
                </c:pt>
                <c:pt idx="6">
                  <c:v>7.1149999999999998E-3</c:v>
                </c:pt>
                <c:pt idx="7">
                  <c:v>8.3370000000000007E-3</c:v>
                </c:pt>
                <c:pt idx="8">
                  <c:v>9.6069999999999992E-3</c:v>
                </c:pt>
                <c:pt idx="9">
                  <c:v>1.1219E-2</c:v>
                </c:pt>
                <c:pt idx="10">
                  <c:v>1.3343000000000001E-2</c:v>
                </c:pt>
                <c:pt idx="11">
                  <c:v>1.6591999999999999E-2</c:v>
                </c:pt>
                <c:pt idx="12">
                  <c:v>1.8159999999999999E-2</c:v>
                </c:pt>
                <c:pt idx="13">
                  <c:v>2.2542E-2</c:v>
                </c:pt>
                <c:pt idx="14">
                  <c:v>2.5669999999999998E-2</c:v>
                </c:pt>
                <c:pt idx="15">
                  <c:v>2.9353000000000001E-2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4-4B44-8494-FCF33432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53792"/>
        <c:axId val="656554880"/>
      </c:scatterChart>
      <c:valAx>
        <c:axId val="656553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554880"/>
        <c:crosses val="autoZero"/>
        <c:crossBetween val="midCat"/>
      </c:valAx>
      <c:valAx>
        <c:axId val="6565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553792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5229981339168"/>
          <c:y val="5.421697378767764E-2"/>
          <c:w val="0.58608128491453582"/>
          <c:h val="0.74297334449780472"/>
        </c:manualLayout>
      </c:layout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DSMC!$C$4:$V$4</c:f>
              <c:numCache>
                <c:formatCode>General</c:formatCode>
                <c:ptCount val="20"/>
                <c:pt idx="0">
                  <c:v>1.5</c:v>
                </c:pt>
                <c:pt idx="1">
                  <c:v>1.4958448753462603</c:v>
                </c:pt>
                <c:pt idx="2">
                  <c:v>1.4833795013850415</c:v>
                </c:pt>
                <c:pt idx="3">
                  <c:v>1.4626038781163435</c:v>
                </c:pt>
                <c:pt idx="4">
                  <c:v>1.4335180055401662</c:v>
                </c:pt>
                <c:pt idx="5">
                  <c:v>1.3961218836565097</c:v>
                </c:pt>
                <c:pt idx="6">
                  <c:v>1.3504155124653741</c:v>
                </c:pt>
                <c:pt idx="7">
                  <c:v>1.2963988919667591</c:v>
                </c:pt>
                <c:pt idx="8">
                  <c:v>1.2340720221606649</c:v>
                </c:pt>
                <c:pt idx="9">
                  <c:v>1.1634349030470914</c:v>
                </c:pt>
                <c:pt idx="10">
                  <c:v>1.0844875346260388</c:v>
                </c:pt>
                <c:pt idx="11">
                  <c:v>0.99722991689750706</c:v>
                </c:pt>
                <c:pt idx="12">
                  <c:v>0.9016620498614959</c:v>
                </c:pt>
                <c:pt idx="13">
                  <c:v>0.79778393351800547</c:v>
                </c:pt>
                <c:pt idx="14">
                  <c:v>0.68559556786703602</c:v>
                </c:pt>
                <c:pt idx="15">
                  <c:v>0.56509695290858741</c:v>
                </c:pt>
                <c:pt idx="16">
                  <c:v>0.43628808864265944</c:v>
                </c:pt>
                <c:pt idx="17">
                  <c:v>0.29916897506925211</c:v>
                </c:pt>
                <c:pt idx="18">
                  <c:v>0.15373961218836563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0-43A0-B830-A5E13ABF5CB0}"/>
            </c:ext>
          </c:extLst>
        </c:ser>
        <c:ser>
          <c:idx val="2"/>
          <c:order val="1"/>
          <c:tx>
            <c:v>Kn = 0.012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DSMC!$C$8:$V$8</c:f>
              <c:numCache>
                <c:formatCode>General</c:formatCode>
                <c:ptCount val="20"/>
                <c:pt idx="0">
                  <c:v>1.36</c:v>
                </c:pt>
                <c:pt idx="1">
                  <c:v>1.3617375564062446</c:v>
                </c:pt>
                <c:pt idx="2">
                  <c:v>1.3700281481264409</c:v>
                </c:pt>
                <c:pt idx="3">
                  <c:v>1.353</c:v>
                </c:pt>
                <c:pt idx="4">
                  <c:v>1.335</c:v>
                </c:pt>
                <c:pt idx="5">
                  <c:v>1.3149078482428791</c:v>
                </c:pt>
                <c:pt idx="6">
                  <c:v>1.2818129602460926</c:v>
                </c:pt>
                <c:pt idx="7">
                  <c:v>1.2275220203565231</c:v>
                </c:pt>
                <c:pt idx="8">
                  <c:v>1.2017584744872185</c:v>
                </c:pt>
                <c:pt idx="9">
                  <c:v>1.1241367065019998</c:v>
                </c:pt>
                <c:pt idx="10">
                  <c:v>1.063309016691826</c:v>
                </c:pt>
                <c:pt idx="11">
                  <c:v>1.0110000000000001</c:v>
                </c:pt>
                <c:pt idx="12">
                  <c:v>0.96399999999999997</c:v>
                </c:pt>
                <c:pt idx="13">
                  <c:v>0.90958005018214239</c:v>
                </c:pt>
                <c:pt idx="14">
                  <c:v>0.79024565258739243</c:v>
                </c:pt>
                <c:pt idx="15">
                  <c:v>0.70160450996936163</c:v>
                </c:pt>
                <c:pt idx="16">
                  <c:v>0.57597211905119017</c:v>
                </c:pt>
                <c:pt idx="17">
                  <c:v>0.49552832047871148</c:v>
                </c:pt>
                <c:pt idx="18">
                  <c:v>0.36299999999999999</c:v>
                </c:pt>
                <c:pt idx="19">
                  <c:v>0.13422434104309303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0-43A0-B830-A5E13ABF5CB0}"/>
            </c:ext>
          </c:extLst>
        </c:ser>
        <c:ser>
          <c:idx val="3"/>
          <c:order val="2"/>
          <c:tx>
            <c:v>Kn = 0.3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DSMC!$C$13:$V$13</c:f>
              <c:numCache>
                <c:formatCode>General</c:formatCode>
                <c:ptCount val="20"/>
                <c:pt idx="0">
                  <c:v>1.2245691845278466</c:v>
                </c:pt>
                <c:pt idx="1">
                  <c:v>1.212</c:v>
                </c:pt>
                <c:pt idx="2">
                  <c:v>1.2230000000000001</c:v>
                </c:pt>
                <c:pt idx="3">
                  <c:v>1.2290000000000001</c:v>
                </c:pt>
                <c:pt idx="4">
                  <c:v>1.2169158354273968</c:v>
                </c:pt>
                <c:pt idx="5">
                  <c:v>1.1950000000000001</c:v>
                </c:pt>
                <c:pt idx="6">
                  <c:v>1.1819999999999999</c:v>
                </c:pt>
                <c:pt idx="7">
                  <c:v>1.1380000000000001</c:v>
                </c:pt>
                <c:pt idx="8">
                  <c:v>1.1136972870329953</c:v>
                </c:pt>
                <c:pt idx="9">
                  <c:v>1.087</c:v>
                </c:pt>
                <c:pt idx="10">
                  <c:v>1.0688916024846509</c:v>
                </c:pt>
                <c:pt idx="11">
                  <c:v>1.03</c:v>
                </c:pt>
                <c:pt idx="12">
                  <c:v>1.0035458700790205</c:v>
                </c:pt>
                <c:pt idx="13">
                  <c:v>0.95600000000000007</c:v>
                </c:pt>
                <c:pt idx="14">
                  <c:v>0.91567813240042584</c:v>
                </c:pt>
                <c:pt idx="15">
                  <c:v>0.84</c:v>
                </c:pt>
                <c:pt idx="16">
                  <c:v>0.745</c:v>
                </c:pt>
                <c:pt idx="17">
                  <c:v>0.58799999999999997</c:v>
                </c:pt>
                <c:pt idx="18">
                  <c:v>0.36</c:v>
                </c:pt>
                <c:pt idx="19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0-43A0-B830-A5E13ABF5CB0}"/>
            </c:ext>
          </c:extLst>
        </c:ser>
        <c:ser>
          <c:idx val="4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DSMC!$C$45:$V$45</c:f>
              <c:numCache>
                <c:formatCode>General</c:formatCode>
                <c:ptCount val="20"/>
                <c:pt idx="0">
                  <c:v>1.1772321428571426</c:v>
                </c:pt>
                <c:pt idx="1">
                  <c:v>1.1732142857142858</c:v>
                </c:pt>
                <c:pt idx="2">
                  <c:v>1.1665178571428572</c:v>
                </c:pt>
                <c:pt idx="3">
                  <c:v>1.1571428571428573</c:v>
                </c:pt>
                <c:pt idx="4">
                  <c:v>1.1450892857142858</c:v>
                </c:pt>
                <c:pt idx="5">
                  <c:v>1.1303571428571428</c:v>
                </c:pt>
                <c:pt idx="6">
                  <c:v>1.1129464285714286</c:v>
                </c:pt>
                <c:pt idx="7">
                  <c:v>1.0928571428571427</c:v>
                </c:pt>
                <c:pt idx="8">
                  <c:v>1.0700892857142856</c:v>
                </c:pt>
                <c:pt idx="9">
                  <c:v>1.0446428571428572</c:v>
                </c:pt>
                <c:pt idx="10">
                  <c:v>1.016517857142857</c:v>
                </c:pt>
                <c:pt idx="11">
                  <c:v>0.98571428571428565</c:v>
                </c:pt>
                <c:pt idx="12">
                  <c:v>0.95223214285714275</c:v>
                </c:pt>
                <c:pt idx="13">
                  <c:v>0.91607142857142854</c:v>
                </c:pt>
                <c:pt idx="14">
                  <c:v>0.87723214285714279</c:v>
                </c:pt>
                <c:pt idx="15">
                  <c:v>0.83571428571428563</c:v>
                </c:pt>
                <c:pt idx="16">
                  <c:v>0.79151785714285716</c:v>
                </c:pt>
                <c:pt idx="17">
                  <c:v>0.74464285714285705</c:v>
                </c:pt>
                <c:pt idx="18">
                  <c:v>0.69508928571428563</c:v>
                </c:pt>
                <c:pt idx="19">
                  <c:v>0.64285714285714279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0-43A0-B830-A5E13ABF5CB0}"/>
            </c:ext>
          </c:extLst>
        </c:ser>
        <c:ser>
          <c:idx val="1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DSMC!$C$46:$V$46</c:f>
              <c:numCache>
                <c:formatCode>General</c:formatCode>
                <c:ptCount val="20"/>
                <c:pt idx="0">
                  <c:v>1.2885174418604652</c:v>
                </c:pt>
                <c:pt idx="1">
                  <c:v>1.2819767441860466</c:v>
                </c:pt>
                <c:pt idx="2">
                  <c:v>1.2710755813953489</c:v>
                </c:pt>
                <c:pt idx="3">
                  <c:v>1.2558139534883723</c:v>
                </c:pt>
                <c:pt idx="4">
                  <c:v>1.2361918604651165</c:v>
                </c:pt>
                <c:pt idx="5">
                  <c:v>1.2122093023255818</c:v>
                </c:pt>
                <c:pt idx="6">
                  <c:v>1.1838662790697676</c:v>
                </c:pt>
                <c:pt idx="7">
                  <c:v>1.1511627906976745</c:v>
                </c:pt>
                <c:pt idx="8">
                  <c:v>1.1140988372093024</c:v>
                </c:pt>
                <c:pt idx="9">
                  <c:v>1.0726744186046513</c:v>
                </c:pt>
                <c:pt idx="10">
                  <c:v>1.026889534883721</c:v>
                </c:pt>
                <c:pt idx="11">
                  <c:v>0.97674418604651181</c:v>
                </c:pt>
                <c:pt idx="12">
                  <c:v>0.92223837209302328</c:v>
                </c:pt>
                <c:pt idx="13">
                  <c:v>0.8633720930232559</c:v>
                </c:pt>
                <c:pt idx="14">
                  <c:v>0.80014534883720945</c:v>
                </c:pt>
                <c:pt idx="15">
                  <c:v>0.73255813953488369</c:v>
                </c:pt>
                <c:pt idx="16">
                  <c:v>0.66061046511627919</c:v>
                </c:pt>
                <c:pt idx="17">
                  <c:v>0.58430232558139539</c:v>
                </c:pt>
                <c:pt idx="18">
                  <c:v>0.50363372093023262</c:v>
                </c:pt>
                <c:pt idx="19">
                  <c:v>0.41860465116279072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0-43A0-B830-A5E13ABF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79104"/>
        <c:axId val="724781280"/>
      </c:lineChart>
      <c:catAx>
        <c:axId val="7247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y / w</a:t>
                </a:r>
              </a:p>
            </c:rich>
          </c:tx>
          <c:layout>
            <c:manualLayout>
              <c:xMode val="edge"/>
              <c:yMode val="edge"/>
              <c:x val="0.40537288873255389"/>
              <c:y val="0.861447472404211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ru-RU"/>
          </a:p>
        </c:txPr>
        <c:crossAx val="7247812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2478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v / V</a:t>
                </a:r>
                <a:r>
                  <a:rPr lang="ru-RU"/>
                  <a:t>ср</a:t>
                </a:r>
              </a:p>
            </c:rich>
          </c:tx>
          <c:layout>
            <c:manualLayout>
              <c:xMode val="edge"/>
              <c:yMode val="edge"/>
              <c:x val="6.2271136522169424E-2"/>
              <c:y val="0.369478636182692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ru-RU"/>
          </a:p>
        </c:txPr>
        <c:crossAx val="724779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3147480191497"/>
          <c:y val="0.17068306562787405"/>
          <c:w val="0.19413942562793998"/>
          <c:h val="0.337350059123327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5.12" l="0.75" r="0.54" t="1.55" header="0.5" footer="0.5"/>
    <c:pageSetup paperSize="9" orientation="portrait" horizontalDpi="-3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6593426420437"/>
          <c:y val="5.4108269378864544E-2"/>
          <c:w val="0.58780522806618474"/>
          <c:h val="0.74348770146513876"/>
        </c:manualLayout>
      </c:layout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DSMC!$C$4:$V$4</c:f>
              <c:numCache>
                <c:formatCode>General</c:formatCode>
                <c:ptCount val="20"/>
                <c:pt idx="0">
                  <c:v>1.5</c:v>
                </c:pt>
                <c:pt idx="1">
                  <c:v>1.4958448753462603</c:v>
                </c:pt>
                <c:pt idx="2">
                  <c:v>1.4833795013850415</c:v>
                </c:pt>
                <c:pt idx="3">
                  <c:v>1.4626038781163435</c:v>
                </c:pt>
                <c:pt idx="4">
                  <c:v>1.4335180055401662</c:v>
                </c:pt>
                <c:pt idx="5">
                  <c:v>1.3961218836565097</c:v>
                </c:pt>
                <c:pt idx="6">
                  <c:v>1.3504155124653741</c:v>
                </c:pt>
                <c:pt idx="7">
                  <c:v>1.2963988919667591</c:v>
                </c:pt>
                <c:pt idx="8">
                  <c:v>1.2340720221606649</c:v>
                </c:pt>
                <c:pt idx="9">
                  <c:v>1.1634349030470914</c:v>
                </c:pt>
                <c:pt idx="10">
                  <c:v>1.0844875346260388</c:v>
                </c:pt>
                <c:pt idx="11">
                  <c:v>0.99722991689750706</c:v>
                </c:pt>
                <c:pt idx="12">
                  <c:v>0.9016620498614959</c:v>
                </c:pt>
                <c:pt idx="13">
                  <c:v>0.79778393351800547</c:v>
                </c:pt>
                <c:pt idx="14">
                  <c:v>0.68559556786703602</c:v>
                </c:pt>
                <c:pt idx="15">
                  <c:v>0.56509695290858741</c:v>
                </c:pt>
                <c:pt idx="16">
                  <c:v>0.43628808864265944</c:v>
                </c:pt>
                <c:pt idx="17">
                  <c:v>0.29916897506925211</c:v>
                </c:pt>
                <c:pt idx="18">
                  <c:v>0.15373961218836563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2-45D7-9E85-6B62CE9CD794}"/>
            </c:ext>
          </c:extLst>
        </c:ser>
        <c:ser>
          <c:idx val="3"/>
          <c:order val="1"/>
          <c:tx>
            <c:v>Kn = 0.3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DSMC!$C$13:$V$13</c:f>
              <c:numCache>
                <c:formatCode>General</c:formatCode>
                <c:ptCount val="20"/>
                <c:pt idx="0">
                  <c:v>1.2245691845278466</c:v>
                </c:pt>
                <c:pt idx="1">
                  <c:v>1.212</c:v>
                </c:pt>
                <c:pt idx="2">
                  <c:v>1.2230000000000001</c:v>
                </c:pt>
                <c:pt idx="3">
                  <c:v>1.2290000000000001</c:v>
                </c:pt>
                <c:pt idx="4">
                  <c:v>1.2169158354273968</c:v>
                </c:pt>
                <c:pt idx="5">
                  <c:v>1.1950000000000001</c:v>
                </c:pt>
                <c:pt idx="6">
                  <c:v>1.1819999999999999</c:v>
                </c:pt>
                <c:pt idx="7">
                  <c:v>1.1380000000000001</c:v>
                </c:pt>
                <c:pt idx="8">
                  <c:v>1.1136972870329953</c:v>
                </c:pt>
                <c:pt idx="9">
                  <c:v>1.087</c:v>
                </c:pt>
                <c:pt idx="10">
                  <c:v>1.0688916024846509</c:v>
                </c:pt>
                <c:pt idx="11">
                  <c:v>1.03</c:v>
                </c:pt>
                <c:pt idx="12">
                  <c:v>1.0035458700790205</c:v>
                </c:pt>
                <c:pt idx="13">
                  <c:v>0.95600000000000007</c:v>
                </c:pt>
                <c:pt idx="14">
                  <c:v>0.91567813240042584</c:v>
                </c:pt>
                <c:pt idx="15">
                  <c:v>0.84</c:v>
                </c:pt>
                <c:pt idx="16">
                  <c:v>0.745</c:v>
                </c:pt>
                <c:pt idx="17">
                  <c:v>0.58799999999999997</c:v>
                </c:pt>
                <c:pt idx="18">
                  <c:v>0.36</c:v>
                </c:pt>
                <c:pt idx="19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2-45D7-9E85-6B62CE9CD794}"/>
            </c:ext>
          </c:extLst>
        </c:ser>
        <c:ser>
          <c:idx val="4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DSMC!$C$45:$V$45</c:f>
              <c:numCache>
                <c:formatCode>General</c:formatCode>
                <c:ptCount val="20"/>
                <c:pt idx="0">
                  <c:v>1.1772321428571426</c:v>
                </c:pt>
                <c:pt idx="1">
                  <c:v>1.1732142857142858</c:v>
                </c:pt>
                <c:pt idx="2">
                  <c:v>1.1665178571428572</c:v>
                </c:pt>
                <c:pt idx="3">
                  <c:v>1.1571428571428573</c:v>
                </c:pt>
                <c:pt idx="4">
                  <c:v>1.1450892857142858</c:v>
                </c:pt>
                <c:pt idx="5">
                  <c:v>1.1303571428571428</c:v>
                </c:pt>
                <c:pt idx="6">
                  <c:v>1.1129464285714286</c:v>
                </c:pt>
                <c:pt idx="7">
                  <c:v>1.0928571428571427</c:v>
                </c:pt>
                <c:pt idx="8">
                  <c:v>1.0700892857142856</c:v>
                </c:pt>
                <c:pt idx="9">
                  <c:v>1.0446428571428572</c:v>
                </c:pt>
                <c:pt idx="10">
                  <c:v>1.016517857142857</c:v>
                </c:pt>
                <c:pt idx="11">
                  <c:v>0.98571428571428565</c:v>
                </c:pt>
                <c:pt idx="12">
                  <c:v>0.95223214285714275</c:v>
                </c:pt>
                <c:pt idx="13">
                  <c:v>0.91607142857142854</c:v>
                </c:pt>
                <c:pt idx="14">
                  <c:v>0.87723214285714279</c:v>
                </c:pt>
                <c:pt idx="15">
                  <c:v>0.83571428571428563</c:v>
                </c:pt>
                <c:pt idx="16">
                  <c:v>0.79151785714285716</c:v>
                </c:pt>
                <c:pt idx="17">
                  <c:v>0.74464285714285705</c:v>
                </c:pt>
                <c:pt idx="18">
                  <c:v>0.69508928571428563</c:v>
                </c:pt>
                <c:pt idx="19">
                  <c:v>0.64285714285714279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2-45D7-9E85-6B62CE9C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84544"/>
        <c:axId val="724785632"/>
      </c:lineChart>
      <c:catAx>
        <c:axId val="7247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y / R</a:t>
                </a:r>
              </a:p>
            </c:rich>
          </c:tx>
          <c:layout>
            <c:manualLayout>
              <c:xMode val="edge"/>
              <c:yMode val="edge"/>
              <c:x val="0.39878072526481828"/>
              <c:y val="0.86172429010784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ru-RU"/>
          </a:p>
        </c:txPr>
        <c:crossAx val="724785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2478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1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U</a:t>
                </a:r>
              </a:p>
            </c:rich>
          </c:tx>
          <c:layout>
            <c:manualLayout>
              <c:xMode val="edge"/>
              <c:yMode val="edge"/>
              <c:x val="4.3902465166768989E-2"/>
              <c:y val="0.39679397544500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ru-RU"/>
          </a:p>
        </c:txPr>
        <c:crossAx val="724784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56145052963656"/>
          <c:y val="0.17234485802156854"/>
          <c:w val="0.19390255448656302"/>
          <c:h val="0.3366736761351571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8544718550353"/>
          <c:y val="5.4108269378864544E-2"/>
          <c:w val="0.58658571514488567"/>
          <c:h val="0.74148369148814375"/>
        </c:manualLayout>
      </c:layout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DSMC!$C$4:$V$4</c:f>
              <c:numCache>
                <c:formatCode>General</c:formatCode>
                <c:ptCount val="20"/>
                <c:pt idx="0">
                  <c:v>1.5</c:v>
                </c:pt>
                <c:pt idx="1">
                  <c:v>1.4958448753462603</c:v>
                </c:pt>
                <c:pt idx="2">
                  <c:v>1.4833795013850415</c:v>
                </c:pt>
                <c:pt idx="3">
                  <c:v>1.4626038781163435</c:v>
                </c:pt>
                <c:pt idx="4">
                  <c:v>1.4335180055401662</c:v>
                </c:pt>
                <c:pt idx="5">
                  <c:v>1.3961218836565097</c:v>
                </c:pt>
                <c:pt idx="6">
                  <c:v>1.3504155124653741</c:v>
                </c:pt>
                <c:pt idx="7">
                  <c:v>1.2963988919667591</c:v>
                </c:pt>
                <c:pt idx="8">
                  <c:v>1.2340720221606649</c:v>
                </c:pt>
                <c:pt idx="9">
                  <c:v>1.1634349030470914</c:v>
                </c:pt>
                <c:pt idx="10">
                  <c:v>1.0844875346260388</c:v>
                </c:pt>
                <c:pt idx="11">
                  <c:v>0.99722991689750706</c:v>
                </c:pt>
                <c:pt idx="12">
                  <c:v>0.9016620498614959</c:v>
                </c:pt>
                <c:pt idx="13">
                  <c:v>0.79778393351800547</c:v>
                </c:pt>
                <c:pt idx="14">
                  <c:v>0.68559556786703602</c:v>
                </c:pt>
                <c:pt idx="15">
                  <c:v>0.56509695290858741</c:v>
                </c:pt>
                <c:pt idx="16">
                  <c:v>0.43628808864265944</c:v>
                </c:pt>
                <c:pt idx="17">
                  <c:v>0.29916897506925211</c:v>
                </c:pt>
                <c:pt idx="18">
                  <c:v>0.15373961218836563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7-46E5-AB0C-3562D1E93CE6}"/>
            </c:ext>
          </c:extLst>
        </c:ser>
        <c:ser>
          <c:idx val="2"/>
          <c:order val="1"/>
          <c:tx>
            <c:v>Kn = 0.012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DSMC!$C$8:$V$8</c:f>
              <c:numCache>
                <c:formatCode>General</c:formatCode>
                <c:ptCount val="20"/>
                <c:pt idx="0">
                  <c:v>1.36</c:v>
                </c:pt>
                <c:pt idx="1">
                  <c:v>1.3617375564062446</c:v>
                </c:pt>
                <c:pt idx="2">
                  <c:v>1.3700281481264409</c:v>
                </c:pt>
                <c:pt idx="3">
                  <c:v>1.353</c:v>
                </c:pt>
                <c:pt idx="4">
                  <c:v>1.335</c:v>
                </c:pt>
                <c:pt idx="5">
                  <c:v>1.3149078482428791</c:v>
                </c:pt>
                <c:pt idx="6">
                  <c:v>1.2818129602460926</c:v>
                </c:pt>
                <c:pt idx="7">
                  <c:v>1.2275220203565231</c:v>
                </c:pt>
                <c:pt idx="8">
                  <c:v>1.2017584744872185</c:v>
                </c:pt>
                <c:pt idx="9">
                  <c:v>1.1241367065019998</c:v>
                </c:pt>
                <c:pt idx="10">
                  <c:v>1.063309016691826</c:v>
                </c:pt>
                <c:pt idx="11">
                  <c:v>1.0110000000000001</c:v>
                </c:pt>
                <c:pt idx="12">
                  <c:v>0.96399999999999997</c:v>
                </c:pt>
                <c:pt idx="13">
                  <c:v>0.90958005018214239</c:v>
                </c:pt>
                <c:pt idx="14">
                  <c:v>0.79024565258739243</c:v>
                </c:pt>
                <c:pt idx="15">
                  <c:v>0.70160450996936163</c:v>
                </c:pt>
                <c:pt idx="16">
                  <c:v>0.57597211905119017</c:v>
                </c:pt>
                <c:pt idx="17">
                  <c:v>0.49552832047871148</c:v>
                </c:pt>
                <c:pt idx="18">
                  <c:v>0.36299999999999999</c:v>
                </c:pt>
                <c:pt idx="19">
                  <c:v>0.13422434104309303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7-46E5-AB0C-3562D1E93CE6}"/>
            </c:ext>
          </c:extLst>
        </c:ser>
        <c:ser>
          <c:idx val="3"/>
          <c:order val="2"/>
          <c:tx>
            <c:v>Kn = 0.3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DSMC!$C$44:$V$44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DSMC!$C$13:$V$13</c:f>
              <c:numCache>
                <c:formatCode>General</c:formatCode>
                <c:ptCount val="20"/>
                <c:pt idx="0">
                  <c:v>1.2245691845278466</c:v>
                </c:pt>
                <c:pt idx="1">
                  <c:v>1.212</c:v>
                </c:pt>
                <c:pt idx="2">
                  <c:v>1.2230000000000001</c:v>
                </c:pt>
                <c:pt idx="3">
                  <c:v>1.2290000000000001</c:v>
                </c:pt>
                <c:pt idx="4">
                  <c:v>1.2169158354273968</c:v>
                </c:pt>
                <c:pt idx="5">
                  <c:v>1.1950000000000001</c:v>
                </c:pt>
                <c:pt idx="6">
                  <c:v>1.1819999999999999</c:v>
                </c:pt>
                <c:pt idx="7">
                  <c:v>1.1380000000000001</c:v>
                </c:pt>
                <c:pt idx="8">
                  <c:v>1.1136972870329953</c:v>
                </c:pt>
                <c:pt idx="9">
                  <c:v>1.087</c:v>
                </c:pt>
                <c:pt idx="10">
                  <c:v>1.0688916024846509</c:v>
                </c:pt>
                <c:pt idx="11">
                  <c:v>1.03</c:v>
                </c:pt>
                <c:pt idx="12">
                  <c:v>1.0035458700790205</c:v>
                </c:pt>
                <c:pt idx="13">
                  <c:v>0.95600000000000007</c:v>
                </c:pt>
                <c:pt idx="14">
                  <c:v>0.91567813240042584</c:v>
                </c:pt>
                <c:pt idx="15">
                  <c:v>0.84</c:v>
                </c:pt>
                <c:pt idx="16">
                  <c:v>0.745</c:v>
                </c:pt>
                <c:pt idx="17">
                  <c:v>0.58799999999999997</c:v>
                </c:pt>
                <c:pt idx="18">
                  <c:v>0.36</c:v>
                </c:pt>
                <c:pt idx="19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7-46E5-AB0C-3562D1E9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145024"/>
        <c:axId val="726145568"/>
      </c:lineChart>
      <c:catAx>
        <c:axId val="7261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y / w</a:t>
                </a:r>
              </a:p>
            </c:rich>
          </c:tx>
          <c:layout>
            <c:manualLayout>
              <c:xMode val="edge"/>
              <c:yMode val="edge"/>
              <c:x val="0.40487828987131397"/>
              <c:y val="0.859720280130847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ru-RU"/>
          </a:p>
        </c:txPr>
        <c:crossAx val="7261455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2614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v / V</a:t>
                </a:r>
                <a:r>
                  <a:rPr lang="ru-RU"/>
                  <a:t>ср</a:t>
                </a:r>
              </a:p>
            </c:rich>
          </c:tx>
          <c:layout>
            <c:manualLayout>
              <c:xMode val="edge"/>
              <c:yMode val="edge"/>
              <c:x val="6.2195158986256063E-2"/>
              <c:y val="0.36873783576707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ru-RU"/>
          </a:p>
        </c:txPr>
        <c:crossAx val="726145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56145052963656"/>
          <c:y val="0.17034084804457356"/>
          <c:w val="0.19390255448656302"/>
          <c:h val="0.3366736761351571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09368731821142E-2"/>
          <c:y val="3.6254481807170308E-2"/>
          <c:w val="0.90030353001991259"/>
          <c:h val="0.83454277116430398"/>
        </c:manualLayout>
      </c:layout>
      <c:scatterChart>
        <c:scatterStyle val="lineMarker"/>
        <c:varyColors val="0"/>
        <c:ser>
          <c:idx val="4"/>
          <c:order val="0"/>
          <c:tx>
            <c:v>(1) Free-molecular limit</c:v>
          </c:tx>
          <c:spPr>
            <a:ln w="15875" cap="rnd">
              <a:solidFill>
                <a:schemeClr val="tx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xVal>
            <c:numRef>
              <c:f>Summary!$F$539:$F$540</c:f>
              <c:numCache>
                <c:formatCode>General</c:formatCode>
                <c:ptCount val="2"/>
                <c:pt idx="0">
                  <c:v>1E-3</c:v>
                </c:pt>
                <c:pt idx="1">
                  <c:v>2E-3</c:v>
                </c:pt>
              </c:numCache>
            </c:numRef>
          </c:xVal>
          <c:yVal>
            <c:numRef>
              <c:f>Summary!$I$539:$I$540</c:f>
              <c:numCache>
                <c:formatCode>General</c:formatCode>
                <c:ptCount val="2"/>
                <c:pt idx="0">
                  <c:v>1.3522326681597558</c:v>
                </c:pt>
                <c:pt idx="1">
                  <c:v>1.3522326681597558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6-4005-97DE-DEC71E08E45B}"/>
            </c:ext>
          </c:extLst>
        </c:ser>
        <c:ser>
          <c:idx val="2"/>
          <c:order val="1"/>
          <c:tx>
            <c:v>(2) Akinshin et al., 1988, Statement 1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Summary!$AK$181:$AK$193</c:f>
              <c:numCache>
                <c:formatCode>General</c:formatCode>
                <c:ptCount val="13"/>
                <c:pt idx="0">
                  <c:v>5.0099091401717153E-3</c:v>
                </c:pt>
                <c:pt idx="1">
                  <c:v>1.1236904826653323E-2</c:v>
                </c:pt>
                <c:pt idx="2">
                  <c:v>2.328465172115329E-2</c:v>
                </c:pt>
                <c:pt idx="3">
                  <c:v>4.2845190343574882E-2</c:v>
                </c:pt>
                <c:pt idx="4">
                  <c:v>7.5179272930657556E-2</c:v>
                </c:pt>
                <c:pt idx="5">
                  <c:v>0.11713952329564974</c:v>
                </c:pt>
                <c:pt idx="6">
                  <c:v>0.17823403562352408</c:v>
                </c:pt>
                <c:pt idx="7">
                  <c:v>0.25656780726680473</c:v>
                </c:pt>
                <c:pt idx="8">
                  <c:v>0.4</c:v>
                </c:pt>
                <c:pt idx="9">
                  <c:v>0.6</c:v>
                </c:pt>
                <c:pt idx="10">
                  <c:v>1.2308342792070741</c:v>
                </c:pt>
                <c:pt idx="11">
                  <c:v>2.3377035526039402</c:v>
                </c:pt>
                <c:pt idx="12">
                  <c:v>3.5569407024172444</c:v>
                </c:pt>
              </c:numCache>
            </c:numRef>
          </c:xVal>
          <c:yVal>
            <c:numRef>
              <c:f>Summary!$AL$181:$AL$193</c:f>
              <c:numCache>
                <c:formatCode>General</c:formatCode>
                <c:ptCount val="13"/>
                <c:pt idx="0">
                  <c:v>1.3</c:v>
                </c:pt>
                <c:pt idx="1">
                  <c:v>1.28</c:v>
                </c:pt>
                <c:pt idx="2">
                  <c:v>1.25</c:v>
                </c:pt>
                <c:pt idx="3">
                  <c:v>1.22</c:v>
                </c:pt>
                <c:pt idx="4">
                  <c:v>1.2</c:v>
                </c:pt>
                <c:pt idx="5">
                  <c:v>1.1599999999999999</c:v>
                </c:pt>
                <c:pt idx="6">
                  <c:v>1.1399999999999999</c:v>
                </c:pt>
                <c:pt idx="7">
                  <c:v>1.1299999999999999</c:v>
                </c:pt>
                <c:pt idx="8">
                  <c:v>1.1200000000000001</c:v>
                </c:pt>
                <c:pt idx="9">
                  <c:v>1.1299999999999999</c:v>
                </c:pt>
                <c:pt idx="10">
                  <c:v>1.2</c:v>
                </c:pt>
                <c:pt idx="11">
                  <c:v>1.36</c:v>
                </c:pt>
                <c:pt idx="12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6-4005-97DE-DEC71E08E45B}"/>
            </c:ext>
          </c:extLst>
        </c:ser>
        <c:ser>
          <c:idx val="3"/>
          <c:order val="2"/>
          <c:tx>
            <c:v>(5) EDMD, Statement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'Март 2018'!$Z$28:$Z$43</c:f>
              <c:numCache>
                <c:formatCode>General</c:formatCode>
                <c:ptCount val="16"/>
                <c:pt idx="0">
                  <c:v>4.4311346272637895</c:v>
                </c:pt>
                <c:pt idx="1">
                  <c:v>2.7694591420398686</c:v>
                </c:pt>
                <c:pt idx="2">
                  <c:v>1.7042825489476112</c:v>
                </c:pt>
                <c:pt idx="3">
                  <c:v>1.0807645432350705</c:v>
                </c:pt>
                <c:pt idx="4">
                  <c:v>0.67138403443390748</c:v>
                </c:pt>
                <c:pt idx="5">
                  <c:v>0.42201282164417042</c:v>
                </c:pt>
                <c:pt idx="6">
                  <c:v>0.26375801352760653</c:v>
                </c:pt>
                <c:pt idx="7">
                  <c:v>0.16534084430088766</c:v>
                </c:pt>
                <c:pt idx="8">
                  <c:v>0.10328985145137039</c:v>
                </c:pt>
                <c:pt idx="9">
                  <c:v>6.4499776233825176E-2</c:v>
                </c:pt>
                <c:pt idx="10">
                  <c:v>4.0283042066034454E-2</c:v>
                </c:pt>
                <c:pt idx="11">
                  <c:v>2.5191214481317736E-2</c:v>
                </c:pt>
                <c:pt idx="12">
                  <c:v>1.5741153205199965E-2</c:v>
                </c:pt>
                <c:pt idx="13">
                  <c:v>9.838220753249978E-3</c:v>
                </c:pt>
                <c:pt idx="14">
                  <c:v>6.1492292912347897E-3</c:v>
                </c:pt>
                <c:pt idx="15">
                  <c:v>3.8434683209851582E-3</c:v>
                </c:pt>
              </c:numCache>
            </c:numRef>
          </c:xVal>
          <c:yVal>
            <c:numRef>
              <c:f>'Март 2018'!$AM$28:$AM$43</c:f>
              <c:numCache>
                <c:formatCode>General</c:formatCode>
                <c:ptCount val="16"/>
                <c:pt idx="0">
                  <c:v>1.6547869527185428</c:v>
                </c:pt>
                <c:pt idx="1">
                  <c:v>1.4241141546773812</c:v>
                </c:pt>
                <c:pt idx="2">
                  <c:v>1.271159388148658</c:v>
                </c:pt>
                <c:pt idx="3">
                  <c:v>1.1963550194288386</c:v>
                </c:pt>
                <c:pt idx="4">
                  <c:v>1.1765835354358265</c:v>
                </c:pt>
                <c:pt idx="5">
                  <c:v>1.1654094645947961</c:v>
                </c:pt>
                <c:pt idx="6">
                  <c:v>1.1723702705312646</c:v>
                </c:pt>
                <c:pt idx="7">
                  <c:v>1.194932374840028</c:v>
                </c:pt>
                <c:pt idx="8">
                  <c:v>1.2313713820812136</c:v>
                </c:pt>
                <c:pt idx="9">
                  <c:v>1.2716488579748102</c:v>
                </c:pt>
                <c:pt idx="10">
                  <c:v>1.2973548675971112</c:v>
                </c:pt>
                <c:pt idx="11">
                  <c:v>1.314734089738268</c:v>
                </c:pt>
                <c:pt idx="12">
                  <c:v>1.3237224337710414</c:v>
                </c:pt>
                <c:pt idx="13">
                  <c:v>1.3447942096964038</c:v>
                </c:pt>
                <c:pt idx="14">
                  <c:v>1.3495129818590228</c:v>
                </c:pt>
                <c:pt idx="15">
                  <c:v>1.3457803415668259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6-4005-97DE-DEC71E08E45B}"/>
            </c:ext>
          </c:extLst>
        </c:ser>
        <c:ser>
          <c:idx val="0"/>
          <c:order val="3"/>
          <c:tx>
            <c:strRef>
              <c:f>'Март 2018'!$AZ$11</c:f>
              <c:strCache>
                <c:ptCount val="1"/>
                <c:pt idx="0">
                  <c:v>Armen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'Март 2018'!$BE$13:$BE$23</c:f>
              <c:numCache>
                <c:formatCode>General</c:formatCode>
                <c:ptCount val="11"/>
                <c:pt idx="0">
                  <c:v>44.311346272637898</c:v>
                </c:pt>
                <c:pt idx="1">
                  <c:v>10.070760516508614</c:v>
                </c:pt>
                <c:pt idx="2">
                  <c:v>4.9234829191819882</c:v>
                </c:pt>
                <c:pt idx="3">
                  <c:v>4.4311346272637895</c:v>
                </c:pt>
                <c:pt idx="4">
                  <c:v>2.2155673136318947</c:v>
                </c:pt>
                <c:pt idx="5">
                  <c:v>1.4770448757545966</c:v>
                </c:pt>
                <c:pt idx="6">
                  <c:v>0.88622692545275794</c:v>
                </c:pt>
                <c:pt idx="7">
                  <c:v>0.44311346272637897</c:v>
                </c:pt>
                <c:pt idx="8">
                  <c:v>8.86226925452758E-2</c:v>
                </c:pt>
                <c:pt idx="9">
                  <c:v>2.215567313631895E-2</c:v>
                </c:pt>
                <c:pt idx="10">
                  <c:v>4.4311346272637902E-3</c:v>
                </c:pt>
              </c:numCache>
            </c:numRef>
          </c:xVal>
          <c:yVal>
            <c:numRef>
              <c:f>'Март 2018'!$BC$13:$BC$23</c:f>
              <c:numCache>
                <c:formatCode>General</c:formatCode>
                <c:ptCount val="11"/>
                <c:pt idx="0">
                  <c:v>2.98</c:v>
                </c:pt>
                <c:pt idx="1">
                  <c:v>2.2264930955796811</c:v>
                </c:pt>
                <c:pt idx="2">
                  <c:v>1.7360758551975757</c:v>
                </c:pt>
                <c:pt idx="3">
                  <c:v>1.685248943034825</c:v>
                </c:pt>
                <c:pt idx="4">
                  <c:v>1.4696938456699056</c:v>
                </c:pt>
                <c:pt idx="5">
                  <c:v>1.4696938456699056</c:v>
                </c:pt>
                <c:pt idx="6">
                  <c:v>1.466264560030009</c:v>
                </c:pt>
                <c:pt idx="7">
                  <c:v>1.7920466958201715</c:v>
                </c:pt>
                <c:pt idx="8">
                  <c:v>2.547469332494503</c:v>
                </c:pt>
                <c:pt idx="9">
                  <c:v>2.8414081016284842</c:v>
                </c:pt>
                <c:pt idx="10">
                  <c:v>2.8414081016284842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96-4005-97DE-DEC71E08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9440"/>
        <c:axId val="656549984"/>
      </c:scatterChart>
      <c:valAx>
        <c:axId val="656549440"/>
        <c:scaling>
          <c:logBase val="10"/>
          <c:orientation val="minMax"/>
          <c:max val="10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56549984"/>
        <c:crossesAt val="0"/>
        <c:crossBetween val="midCat"/>
      </c:valAx>
      <c:valAx>
        <c:axId val="656549984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56549440"/>
        <c:crossesAt val="1.0000000000000002E-3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942837752757541"/>
          <c:y val="0.19793995773717921"/>
          <c:w val="0.50230578654303726"/>
          <c:h val="0.2303669652968364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'Март 2018'!$BB$32</c:f>
              <c:strCache>
                <c:ptCount val="1"/>
                <c:pt idx="0">
                  <c:v>Cont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'Март 2018'!$AY$33:$AY$37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'Март 2018'!$BB$33:$BB$37</c:f>
              <c:numCache>
                <c:formatCode>General</c:formatCode>
                <c:ptCount val="5"/>
                <c:pt idx="0">
                  <c:v>0.14770448757545965</c:v>
                </c:pt>
                <c:pt idx="1">
                  <c:v>0.2954089751509193</c:v>
                </c:pt>
                <c:pt idx="2">
                  <c:v>1.4770448757545964</c:v>
                </c:pt>
                <c:pt idx="3">
                  <c:v>2.9540897515091928</c:v>
                </c:pt>
                <c:pt idx="4">
                  <c:v>14.770448757545964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2-47FD-B9E1-A1121958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06808"/>
        <c:axId val="402008448"/>
      </c:scatterChart>
      <c:valAx>
        <c:axId val="402006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008448"/>
        <c:crosses val="autoZero"/>
        <c:crossBetween val="midCat"/>
      </c:valAx>
      <c:valAx>
        <c:axId val="402008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00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N-S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Summary!$C$16:$W$16</c:f>
              <c:numCache>
                <c:formatCode>General</c:formatCode>
                <c:ptCount val="21"/>
                <c:pt idx="0">
                  <c:v>0.25</c:v>
                </c:pt>
                <c:pt idx="1">
                  <c:v>0.24937500000000001</c:v>
                </c:pt>
                <c:pt idx="2">
                  <c:v>0.2475</c:v>
                </c:pt>
                <c:pt idx="3">
                  <c:v>0.24437500000000001</c:v>
                </c:pt>
                <c:pt idx="4">
                  <c:v>0.24</c:v>
                </c:pt>
                <c:pt idx="5">
                  <c:v>0.234375</c:v>
                </c:pt>
                <c:pt idx="6">
                  <c:v>0.22750000000000001</c:v>
                </c:pt>
                <c:pt idx="7">
                  <c:v>0.21937500000000001</c:v>
                </c:pt>
                <c:pt idx="8">
                  <c:v>0.21</c:v>
                </c:pt>
                <c:pt idx="9">
                  <c:v>0.199375</c:v>
                </c:pt>
                <c:pt idx="10">
                  <c:v>0.1875</c:v>
                </c:pt>
                <c:pt idx="11">
                  <c:v>0.174375</c:v>
                </c:pt>
                <c:pt idx="12">
                  <c:v>0.16</c:v>
                </c:pt>
                <c:pt idx="13">
                  <c:v>0.14437499999999998</c:v>
                </c:pt>
                <c:pt idx="14">
                  <c:v>0.1275</c:v>
                </c:pt>
                <c:pt idx="15">
                  <c:v>0.109375</c:v>
                </c:pt>
                <c:pt idx="16">
                  <c:v>8.9999999999999969E-2</c:v>
                </c:pt>
                <c:pt idx="17">
                  <c:v>6.937500000000002E-2</c:v>
                </c:pt>
                <c:pt idx="18">
                  <c:v>4.7499999999999987E-2</c:v>
                </c:pt>
                <c:pt idx="19">
                  <c:v>2.4375000000000008E-2</c:v>
                </c:pt>
                <c:pt idx="20">
                  <c:v>0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A-418A-84CC-8BF7DE4B18C1}"/>
            </c:ext>
          </c:extLst>
        </c:ser>
        <c:ser>
          <c:idx val="5"/>
          <c:order val="1"/>
          <c:tx>
            <c:strRef>
              <c:f>Summary!$B$25</c:f>
              <c:strCache>
                <c:ptCount val="1"/>
                <c:pt idx="0">
                  <c:v>N-S + Slip (Kn=0,18)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Summary!$C$25:$W$25</c:f>
              <c:numCache>
                <c:formatCode>General</c:formatCode>
                <c:ptCount val="21"/>
                <c:pt idx="0">
                  <c:v>0.45638800000000002</c:v>
                </c:pt>
                <c:pt idx="1">
                  <c:v>0.45576300000000003</c:v>
                </c:pt>
                <c:pt idx="2">
                  <c:v>0.45388800000000001</c:v>
                </c:pt>
                <c:pt idx="3">
                  <c:v>0.45076300000000002</c:v>
                </c:pt>
                <c:pt idx="4">
                  <c:v>0.44638800000000001</c:v>
                </c:pt>
                <c:pt idx="5">
                  <c:v>0.44076300000000002</c:v>
                </c:pt>
                <c:pt idx="6">
                  <c:v>0.43388800000000005</c:v>
                </c:pt>
                <c:pt idx="7">
                  <c:v>0.425763</c:v>
                </c:pt>
                <c:pt idx="8">
                  <c:v>0.41638799999999998</c:v>
                </c:pt>
                <c:pt idx="9">
                  <c:v>0.40576299999999998</c:v>
                </c:pt>
                <c:pt idx="10">
                  <c:v>0.39388800000000002</c:v>
                </c:pt>
                <c:pt idx="11">
                  <c:v>0.38076300000000002</c:v>
                </c:pt>
                <c:pt idx="12">
                  <c:v>0.36638800000000005</c:v>
                </c:pt>
                <c:pt idx="13">
                  <c:v>0.35076299999999999</c:v>
                </c:pt>
                <c:pt idx="14">
                  <c:v>0.33388800000000002</c:v>
                </c:pt>
                <c:pt idx="15">
                  <c:v>0.31576300000000002</c:v>
                </c:pt>
                <c:pt idx="16">
                  <c:v>0.29638799999999998</c:v>
                </c:pt>
                <c:pt idx="17">
                  <c:v>0.27576300000000004</c:v>
                </c:pt>
                <c:pt idx="18">
                  <c:v>0.253888</c:v>
                </c:pt>
                <c:pt idx="19">
                  <c:v>0.23076300000000002</c:v>
                </c:pt>
                <c:pt idx="20">
                  <c:v>0.20638800000000002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A-418A-84CC-8BF7DE4B18C1}"/>
            </c:ext>
          </c:extLst>
        </c:ser>
        <c:ser>
          <c:idx val="1"/>
          <c:order val="2"/>
          <c:tx>
            <c:strRef>
              <c:f>Summary!$B$17</c:f>
              <c:strCache>
                <c:ptCount val="1"/>
                <c:pt idx="0">
                  <c:v>N-S + Slip (Kn=0,37)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Summary!$C$17:$W$17</c:f>
              <c:numCache>
                <c:formatCode>General</c:formatCode>
                <c:ptCount val="21"/>
                <c:pt idx="0">
                  <c:v>0.67424200000000001</c:v>
                </c:pt>
                <c:pt idx="1">
                  <c:v>0.67361700000000002</c:v>
                </c:pt>
                <c:pt idx="2">
                  <c:v>0.67174200000000006</c:v>
                </c:pt>
                <c:pt idx="3">
                  <c:v>0.66861700000000002</c:v>
                </c:pt>
                <c:pt idx="4">
                  <c:v>0.664242</c:v>
                </c:pt>
                <c:pt idx="5">
                  <c:v>0.65861700000000001</c:v>
                </c:pt>
                <c:pt idx="6">
                  <c:v>0.65174200000000004</c:v>
                </c:pt>
                <c:pt idx="7">
                  <c:v>0.64361699999999999</c:v>
                </c:pt>
                <c:pt idx="8">
                  <c:v>0.63424199999999997</c:v>
                </c:pt>
                <c:pt idx="9">
                  <c:v>0.62361699999999998</c:v>
                </c:pt>
                <c:pt idx="10">
                  <c:v>0.61174200000000001</c:v>
                </c:pt>
                <c:pt idx="11">
                  <c:v>0.59861699999999995</c:v>
                </c:pt>
                <c:pt idx="12">
                  <c:v>0.58424200000000004</c:v>
                </c:pt>
                <c:pt idx="13">
                  <c:v>0.56861699999999993</c:v>
                </c:pt>
                <c:pt idx="14">
                  <c:v>0.55174199999999995</c:v>
                </c:pt>
                <c:pt idx="15">
                  <c:v>0.53361700000000001</c:v>
                </c:pt>
                <c:pt idx="16">
                  <c:v>0.51424199999999998</c:v>
                </c:pt>
                <c:pt idx="17">
                  <c:v>0.49361700000000003</c:v>
                </c:pt>
                <c:pt idx="18">
                  <c:v>0.47174199999999999</c:v>
                </c:pt>
                <c:pt idx="19">
                  <c:v>0.44861700000000004</c:v>
                </c:pt>
                <c:pt idx="20">
                  <c:v>0.42424200000000001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A-418A-84CC-8BF7DE4B18C1}"/>
            </c:ext>
          </c:extLst>
        </c:ser>
        <c:ser>
          <c:idx val="6"/>
          <c:order val="3"/>
          <c:tx>
            <c:strRef>
              <c:f>Summary!$B$27</c:f>
              <c:strCache>
                <c:ptCount val="1"/>
                <c:pt idx="0">
                  <c:v>Cercignani (Kn=0,18)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Summary!$C$27:$W$27</c:f>
              <c:numCache>
                <c:formatCode>General</c:formatCode>
                <c:ptCount val="21"/>
                <c:pt idx="0">
                  <c:v>0.51961048716870961</c:v>
                </c:pt>
                <c:pt idx="1">
                  <c:v>0.51898548716870962</c:v>
                </c:pt>
                <c:pt idx="2">
                  <c:v>0.51711048716870966</c:v>
                </c:pt>
                <c:pt idx="3">
                  <c:v>0.51398548716870962</c:v>
                </c:pt>
                <c:pt idx="4">
                  <c:v>0.5096104871687096</c:v>
                </c:pt>
                <c:pt idx="5">
                  <c:v>0.50398548716870961</c:v>
                </c:pt>
                <c:pt idx="6">
                  <c:v>0.4971104871687097</c:v>
                </c:pt>
                <c:pt idx="7">
                  <c:v>0.48898548716870965</c:v>
                </c:pt>
                <c:pt idx="8">
                  <c:v>0.47961048716870963</c:v>
                </c:pt>
                <c:pt idx="9">
                  <c:v>0.46898548716870964</c:v>
                </c:pt>
                <c:pt idx="10">
                  <c:v>0.45711048716870967</c:v>
                </c:pt>
                <c:pt idx="11">
                  <c:v>0.44398548716870967</c:v>
                </c:pt>
                <c:pt idx="12">
                  <c:v>0.4296104871687097</c:v>
                </c:pt>
                <c:pt idx="13">
                  <c:v>0.41398548716870964</c:v>
                </c:pt>
                <c:pt idx="14">
                  <c:v>0.39711048716870967</c:v>
                </c:pt>
                <c:pt idx="15">
                  <c:v>0.37898548716870967</c:v>
                </c:pt>
                <c:pt idx="16">
                  <c:v>0.35961048716870964</c:v>
                </c:pt>
                <c:pt idx="17">
                  <c:v>0.33898548716870969</c:v>
                </c:pt>
                <c:pt idx="18">
                  <c:v>0.31711048716870965</c:v>
                </c:pt>
                <c:pt idx="19">
                  <c:v>0.29398548716870965</c:v>
                </c:pt>
                <c:pt idx="20">
                  <c:v>0.26961048716870967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A-418A-84CC-8BF7DE4B18C1}"/>
            </c:ext>
          </c:extLst>
        </c:ser>
        <c:ser>
          <c:idx val="4"/>
          <c:order val="4"/>
          <c:tx>
            <c:strRef>
              <c:f>Summary!$B$19</c:f>
              <c:strCache>
                <c:ptCount val="1"/>
                <c:pt idx="0">
                  <c:v>Cercignani (Kn=0,37)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Summary!$C$19:$W$19</c:f>
              <c:numCache>
                <c:formatCode>General</c:formatCode>
                <c:ptCount val="21"/>
                <c:pt idx="0">
                  <c:v>0.94137652140112182</c:v>
                </c:pt>
                <c:pt idx="1">
                  <c:v>0.94075152140112195</c:v>
                </c:pt>
                <c:pt idx="2">
                  <c:v>0.93887652140112188</c:v>
                </c:pt>
                <c:pt idx="3">
                  <c:v>0.93575152140112183</c:v>
                </c:pt>
                <c:pt idx="4">
                  <c:v>0.93137652140112182</c:v>
                </c:pt>
                <c:pt idx="5">
                  <c:v>0.92575152140112182</c:v>
                </c:pt>
                <c:pt idx="6">
                  <c:v>0.91887652140112186</c:v>
                </c:pt>
                <c:pt idx="7">
                  <c:v>0.91075152140112192</c:v>
                </c:pt>
                <c:pt idx="8">
                  <c:v>0.90137652140112179</c:v>
                </c:pt>
                <c:pt idx="9">
                  <c:v>0.8907515214011219</c:v>
                </c:pt>
                <c:pt idx="10">
                  <c:v>0.87887652140112182</c:v>
                </c:pt>
                <c:pt idx="11">
                  <c:v>0.86575152140112177</c:v>
                </c:pt>
                <c:pt idx="12">
                  <c:v>0.85137652140112197</c:v>
                </c:pt>
                <c:pt idx="13">
                  <c:v>0.83575152140112174</c:v>
                </c:pt>
                <c:pt idx="14">
                  <c:v>0.81887652140112177</c:v>
                </c:pt>
                <c:pt idx="15">
                  <c:v>0.80075152140112182</c:v>
                </c:pt>
                <c:pt idx="16">
                  <c:v>0.7813765214011219</c:v>
                </c:pt>
                <c:pt idx="17">
                  <c:v>0.7607515214011219</c:v>
                </c:pt>
                <c:pt idx="18">
                  <c:v>0.73887652140112192</c:v>
                </c:pt>
                <c:pt idx="19">
                  <c:v>0.71575152140112186</c:v>
                </c:pt>
                <c:pt idx="20">
                  <c:v>0.69137652140112182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A-418A-84CC-8BF7DE4B18C1}"/>
            </c:ext>
          </c:extLst>
        </c:ser>
        <c:ser>
          <c:idx val="7"/>
          <c:order val="5"/>
          <c:tx>
            <c:strRef>
              <c:f>Summary!$B$28</c:f>
              <c:strCache>
                <c:ptCount val="1"/>
                <c:pt idx="0">
                  <c:v>EDMD LV (Kn=0,18)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Summary!$C$28:$V$28</c:f>
              <c:numCache>
                <c:formatCode>General</c:formatCode>
                <c:ptCount val="20"/>
                <c:pt idx="0">
                  <c:v>0.43783849872405173</c:v>
                </c:pt>
                <c:pt idx="1">
                  <c:v>0.43131113418113298</c:v>
                </c:pt>
                <c:pt idx="2">
                  <c:v>0.44987176116222605</c:v>
                </c:pt>
                <c:pt idx="3">
                  <c:v>0.48488339231666705</c:v>
                </c:pt>
                <c:pt idx="4">
                  <c:v>0.44542024700782146</c:v>
                </c:pt>
                <c:pt idx="5">
                  <c:v>0.46514060106762373</c:v>
                </c:pt>
                <c:pt idx="6">
                  <c:v>0.42736442654585471</c:v>
                </c:pt>
                <c:pt idx="7">
                  <c:v>0.45474904625347845</c:v>
                </c:pt>
                <c:pt idx="8">
                  <c:v>0.38655153354213923</c:v>
                </c:pt>
                <c:pt idx="9">
                  <c:v>0.42262731124984643</c:v>
                </c:pt>
                <c:pt idx="10">
                  <c:v>0.36579000577704607</c:v>
                </c:pt>
                <c:pt idx="11">
                  <c:v>0.34360012671765461</c:v>
                </c:pt>
                <c:pt idx="12">
                  <c:v>0.33460890479014155</c:v>
                </c:pt>
                <c:pt idx="13">
                  <c:v>0.33842694201364909</c:v>
                </c:pt>
                <c:pt idx="14">
                  <c:v>0.30446889111195785</c:v>
                </c:pt>
                <c:pt idx="15">
                  <c:v>0.30329230806243268</c:v>
                </c:pt>
                <c:pt idx="16">
                  <c:v>0.27411215163781161</c:v>
                </c:pt>
                <c:pt idx="17">
                  <c:v>0.2659298867146177</c:v>
                </c:pt>
                <c:pt idx="18">
                  <c:v>0.23411029779575332</c:v>
                </c:pt>
                <c:pt idx="19">
                  <c:v>0.20877251650842207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CA-418A-84CC-8BF7DE4B18C1}"/>
            </c:ext>
          </c:extLst>
        </c:ser>
        <c:ser>
          <c:idx val="8"/>
          <c:order val="6"/>
          <c:tx>
            <c:strRef>
              <c:f>Summary!$B$29</c:f>
              <c:strCache>
                <c:ptCount val="1"/>
                <c:pt idx="0">
                  <c:v>EDMD HV (Kn=0,18)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Summary!$C$29:$V$29</c:f>
              <c:numCache>
                <c:formatCode>General</c:formatCode>
                <c:ptCount val="20"/>
                <c:pt idx="0">
                  <c:v>0.48579358403194101</c:v>
                </c:pt>
                <c:pt idx="1">
                  <c:v>0.47521377923367653</c:v>
                </c:pt>
                <c:pt idx="2">
                  <c:v>0.48289451076143269</c:v>
                </c:pt>
                <c:pt idx="3">
                  <c:v>0.4640067759087016</c:v>
                </c:pt>
                <c:pt idx="4">
                  <c:v>0.47257417384952899</c:v>
                </c:pt>
                <c:pt idx="5">
                  <c:v>0.47202112930536133</c:v>
                </c:pt>
                <c:pt idx="6">
                  <c:v>0.47052418019885145</c:v>
                </c:pt>
                <c:pt idx="7">
                  <c:v>0.43866274194953819</c:v>
                </c:pt>
                <c:pt idx="8">
                  <c:v>0.43672423150918904</c:v>
                </c:pt>
                <c:pt idx="9">
                  <c:v>0.41060996493295215</c:v>
                </c:pt>
                <c:pt idx="10">
                  <c:v>0.40500701748027051</c:v>
                </c:pt>
                <c:pt idx="11">
                  <c:v>0.40392110908938361</c:v>
                </c:pt>
                <c:pt idx="12">
                  <c:v>0.38385547412325488</c:v>
                </c:pt>
                <c:pt idx="13">
                  <c:v>0.35992824555900338</c:v>
                </c:pt>
                <c:pt idx="14">
                  <c:v>0.33329239295033247</c:v>
                </c:pt>
                <c:pt idx="15">
                  <c:v>0.31891792071693725</c:v>
                </c:pt>
                <c:pt idx="16">
                  <c:v>0.29135908851872044</c:v>
                </c:pt>
                <c:pt idx="17">
                  <c:v>0.25720552377562167</c:v>
                </c:pt>
                <c:pt idx="18">
                  <c:v>0.2233697717114532</c:v>
                </c:pt>
                <c:pt idx="19">
                  <c:v>0.18650424523090603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CA-418A-84CC-8BF7DE4B18C1}"/>
            </c:ext>
          </c:extLst>
        </c:ser>
        <c:ser>
          <c:idx val="2"/>
          <c:order val="7"/>
          <c:tx>
            <c:strRef>
              <c:f>Summary!$B$20</c:f>
              <c:strCache>
                <c:ptCount val="1"/>
                <c:pt idx="0">
                  <c:v>EDMD LV (Kn=0,37)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Summary!$C$20:$V$20</c:f>
              <c:numCache>
                <c:formatCode>General</c:formatCode>
                <c:ptCount val="20"/>
                <c:pt idx="0">
                  <c:v>0.68176815650188027</c:v>
                </c:pt>
                <c:pt idx="1">
                  <c:v>0.74344151071347453</c:v>
                </c:pt>
                <c:pt idx="2">
                  <c:v>0.77965090084629352</c:v>
                </c:pt>
                <c:pt idx="3">
                  <c:v>0.74091074092559162</c:v>
                </c:pt>
                <c:pt idx="4">
                  <c:v>0.73353080918946101</c:v>
                </c:pt>
                <c:pt idx="5">
                  <c:v>0.73378014918843126</c:v>
                </c:pt>
                <c:pt idx="6">
                  <c:v>0.79259045906659342</c:v>
                </c:pt>
                <c:pt idx="7">
                  <c:v>0.7642394279494571</c:v>
                </c:pt>
                <c:pt idx="8">
                  <c:v>0.65490808028044278</c:v>
                </c:pt>
                <c:pt idx="9">
                  <c:v>0.67360208200481153</c:v>
                </c:pt>
                <c:pt idx="10">
                  <c:v>0.5992854719486771</c:v>
                </c:pt>
                <c:pt idx="11">
                  <c:v>0.63254537107996178</c:v>
                </c:pt>
                <c:pt idx="12">
                  <c:v>0.63994287373831094</c:v>
                </c:pt>
                <c:pt idx="13">
                  <c:v>0.62117817574104239</c:v>
                </c:pt>
                <c:pt idx="14">
                  <c:v>0.57256919673229256</c:v>
                </c:pt>
                <c:pt idx="15">
                  <c:v>0.58762274782904744</c:v>
                </c:pt>
                <c:pt idx="16">
                  <c:v>0.51752857942797059</c:v>
                </c:pt>
                <c:pt idx="17">
                  <c:v>0.48943214359883896</c:v>
                </c:pt>
                <c:pt idx="18">
                  <c:v>0.45124411909398043</c:v>
                </c:pt>
                <c:pt idx="19">
                  <c:v>0.38966830490349452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CA-418A-84CC-8BF7DE4B18C1}"/>
            </c:ext>
          </c:extLst>
        </c:ser>
        <c:ser>
          <c:idx val="3"/>
          <c:order val="8"/>
          <c:tx>
            <c:strRef>
              <c:f>Summary!$B$21</c:f>
              <c:strCache>
                <c:ptCount val="1"/>
                <c:pt idx="0">
                  <c:v>EDMD HV (Kn=0,37)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Summary!$C$21:$V$21</c:f>
              <c:numCache>
                <c:formatCode>General</c:formatCode>
                <c:ptCount val="20"/>
                <c:pt idx="0">
                  <c:v>0.75598164098751508</c:v>
                </c:pt>
                <c:pt idx="1">
                  <c:v>0.75845064938211759</c:v>
                </c:pt>
                <c:pt idx="2">
                  <c:v>0.75507394829736552</c:v>
                </c:pt>
                <c:pt idx="3">
                  <c:v>0.74936397977937319</c:v>
                </c:pt>
                <c:pt idx="4">
                  <c:v>0.75477935942572638</c:v>
                </c:pt>
                <c:pt idx="5">
                  <c:v>0.73933023265428155</c:v>
                </c:pt>
                <c:pt idx="6">
                  <c:v>0.72574189323293681</c:v>
                </c:pt>
                <c:pt idx="7">
                  <c:v>0.69184838012955729</c:v>
                </c:pt>
                <c:pt idx="8">
                  <c:v>0.69412215683701051</c:v>
                </c:pt>
                <c:pt idx="9">
                  <c:v>0.66547548820055769</c:v>
                </c:pt>
                <c:pt idx="10">
                  <c:v>0.67866812846089919</c:v>
                </c:pt>
                <c:pt idx="11">
                  <c:v>0.65843306022339199</c:v>
                </c:pt>
                <c:pt idx="12">
                  <c:v>0.63929065529324092</c:v>
                </c:pt>
                <c:pt idx="13">
                  <c:v>0.58932006189934949</c:v>
                </c:pt>
                <c:pt idx="14">
                  <c:v>0.58118097926971246</c:v>
                </c:pt>
                <c:pt idx="15">
                  <c:v>0.5555783908410824</c:v>
                </c:pt>
                <c:pt idx="16">
                  <c:v>0.5374613779852474</c:v>
                </c:pt>
                <c:pt idx="17">
                  <c:v>0.49008600633068922</c:v>
                </c:pt>
                <c:pt idx="18">
                  <c:v>0.43796998118953318</c:v>
                </c:pt>
                <c:pt idx="19">
                  <c:v>0.38333425810698463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CA-418A-84CC-8BF7DE4B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57056"/>
        <c:axId val="656555968"/>
      </c:scatterChart>
      <c:valAx>
        <c:axId val="6565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u*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555968"/>
        <c:crosses val="autoZero"/>
        <c:crossBetween val="midCat"/>
        <c:majorUnit val="0.25"/>
      </c:valAx>
      <c:valAx>
        <c:axId val="65655596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5570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N-S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Summary!$C$16:$W$16</c:f>
              <c:numCache>
                <c:formatCode>General</c:formatCode>
                <c:ptCount val="21"/>
                <c:pt idx="0">
                  <c:v>0.25</c:v>
                </c:pt>
                <c:pt idx="1">
                  <c:v>0.24937500000000001</c:v>
                </c:pt>
                <c:pt idx="2">
                  <c:v>0.2475</c:v>
                </c:pt>
                <c:pt idx="3">
                  <c:v>0.24437500000000001</c:v>
                </c:pt>
                <c:pt idx="4">
                  <c:v>0.24</c:v>
                </c:pt>
                <c:pt idx="5">
                  <c:v>0.234375</c:v>
                </c:pt>
                <c:pt idx="6">
                  <c:v>0.22750000000000001</c:v>
                </c:pt>
                <c:pt idx="7">
                  <c:v>0.21937500000000001</c:v>
                </c:pt>
                <c:pt idx="8">
                  <c:v>0.21</c:v>
                </c:pt>
                <c:pt idx="9">
                  <c:v>0.199375</c:v>
                </c:pt>
                <c:pt idx="10">
                  <c:v>0.1875</c:v>
                </c:pt>
                <c:pt idx="11">
                  <c:v>0.174375</c:v>
                </c:pt>
                <c:pt idx="12">
                  <c:v>0.16</c:v>
                </c:pt>
                <c:pt idx="13">
                  <c:v>0.14437499999999998</c:v>
                </c:pt>
                <c:pt idx="14">
                  <c:v>0.1275</c:v>
                </c:pt>
                <c:pt idx="15">
                  <c:v>0.109375</c:v>
                </c:pt>
                <c:pt idx="16">
                  <c:v>8.9999999999999969E-2</c:v>
                </c:pt>
                <c:pt idx="17">
                  <c:v>6.937500000000002E-2</c:v>
                </c:pt>
                <c:pt idx="18">
                  <c:v>4.7499999999999987E-2</c:v>
                </c:pt>
                <c:pt idx="19">
                  <c:v>2.4375000000000008E-2</c:v>
                </c:pt>
                <c:pt idx="20">
                  <c:v>0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A-4519-B1B2-88D775463FED}"/>
            </c:ext>
          </c:extLst>
        </c:ser>
        <c:ser>
          <c:idx val="1"/>
          <c:order val="1"/>
          <c:tx>
            <c:strRef>
              <c:f>Summary!$B$60</c:f>
              <c:strCache>
                <c:ptCount val="1"/>
                <c:pt idx="0">
                  <c:v>N-S + Slip (Kn=2,35)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Summary!$C$60:$W$60</c:f>
              <c:numCache>
                <c:formatCode>General</c:formatCode>
                <c:ptCount val="21"/>
                <c:pt idx="0">
                  <c:v>2.9445100000000002</c:v>
                </c:pt>
                <c:pt idx="1">
                  <c:v>2.9438850000000003</c:v>
                </c:pt>
                <c:pt idx="2">
                  <c:v>2.9420100000000002</c:v>
                </c:pt>
                <c:pt idx="3">
                  <c:v>2.938885</c:v>
                </c:pt>
                <c:pt idx="4">
                  <c:v>2.9345100000000004</c:v>
                </c:pt>
                <c:pt idx="5">
                  <c:v>2.9288850000000002</c:v>
                </c:pt>
                <c:pt idx="6">
                  <c:v>2.9220100000000002</c:v>
                </c:pt>
                <c:pt idx="7">
                  <c:v>2.9138850000000001</c:v>
                </c:pt>
                <c:pt idx="8">
                  <c:v>2.9045100000000001</c:v>
                </c:pt>
                <c:pt idx="9">
                  <c:v>2.893885</c:v>
                </c:pt>
                <c:pt idx="10">
                  <c:v>2.8820100000000002</c:v>
                </c:pt>
                <c:pt idx="11">
                  <c:v>2.8688850000000001</c:v>
                </c:pt>
                <c:pt idx="12">
                  <c:v>2.8545100000000003</c:v>
                </c:pt>
                <c:pt idx="13">
                  <c:v>2.8388850000000003</c:v>
                </c:pt>
                <c:pt idx="14">
                  <c:v>2.8220100000000001</c:v>
                </c:pt>
                <c:pt idx="15">
                  <c:v>2.8038850000000002</c:v>
                </c:pt>
                <c:pt idx="16">
                  <c:v>2.78451</c:v>
                </c:pt>
                <c:pt idx="17">
                  <c:v>2.7638850000000001</c:v>
                </c:pt>
                <c:pt idx="18">
                  <c:v>2.7420100000000001</c:v>
                </c:pt>
                <c:pt idx="19">
                  <c:v>2.7188850000000002</c:v>
                </c:pt>
                <c:pt idx="20">
                  <c:v>2.6945100000000002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A-4519-B1B2-88D775463FED}"/>
            </c:ext>
          </c:extLst>
        </c:ser>
        <c:ser>
          <c:idx val="4"/>
          <c:order val="2"/>
          <c:tx>
            <c:strRef>
              <c:f>Summary!$B$61</c:f>
              <c:strCache>
                <c:ptCount val="1"/>
                <c:pt idx="0">
                  <c:v>Cercignani (Kn=2,35)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Summary!$C$61:$W$61</c:f>
              <c:numCache>
                <c:formatCode>General</c:formatCode>
                <c:ptCount val="21"/>
                <c:pt idx="0">
                  <c:v>13.720626832999969</c:v>
                </c:pt>
                <c:pt idx="1">
                  <c:v>13.720001832999969</c:v>
                </c:pt>
                <c:pt idx="2">
                  <c:v>13.718126832999969</c:v>
                </c:pt>
                <c:pt idx="3">
                  <c:v>13.71500183299997</c:v>
                </c:pt>
                <c:pt idx="4">
                  <c:v>13.710626832999971</c:v>
                </c:pt>
                <c:pt idx="5">
                  <c:v>13.705001832999969</c:v>
                </c:pt>
                <c:pt idx="6">
                  <c:v>13.69812683299997</c:v>
                </c:pt>
                <c:pt idx="7">
                  <c:v>13.69000183299997</c:v>
                </c:pt>
                <c:pt idx="8">
                  <c:v>13.68062683299997</c:v>
                </c:pt>
                <c:pt idx="9">
                  <c:v>13.670001832999969</c:v>
                </c:pt>
                <c:pt idx="10">
                  <c:v>13.658126832999969</c:v>
                </c:pt>
                <c:pt idx="11">
                  <c:v>13.64500183299997</c:v>
                </c:pt>
                <c:pt idx="12">
                  <c:v>13.630626832999969</c:v>
                </c:pt>
                <c:pt idx="13">
                  <c:v>13.615001832999969</c:v>
                </c:pt>
                <c:pt idx="14">
                  <c:v>13.59812683299997</c:v>
                </c:pt>
                <c:pt idx="15">
                  <c:v>13.580001832999969</c:v>
                </c:pt>
                <c:pt idx="16">
                  <c:v>13.560626832999969</c:v>
                </c:pt>
                <c:pt idx="17">
                  <c:v>13.54000183299997</c:v>
                </c:pt>
                <c:pt idx="18">
                  <c:v>13.51812683299997</c:v>
                </c:pt>
                <c:pt idx="19">
                  <c:v>13.49500183299997</c:v>
                </c:pt>
                <c:pt idx="20">
                  <c:v>13.470626832999969</c:v>
                </c:pt>
              </c:numCache>
            </c:numRef>
          </c:xVal>
          <c:yVal>
            <c:numRef>
              <c:f>Summary!$C$11:$W$11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A-4519-B1B2-88D775463FED}"/>
            </c:ext>
          </c:extLst>
        </c:ser>
        <c:ser>
          <c:idx val="2"/>
          <c:order val="3"/>
          <c:tx>
            <c:strRef>
              <c:f>Summary!$B$62</c:f>
              <c:strCache>
                <c:ptCount val="1"/>
                <c:pt idx="0">
                  <c:v>EDMD (Kn=2,35)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Summary!$C$62:$V$62</c:f>
              <c:numCache>
                <c:formatCode>General</c:formatCode>
                <c:ptCount val="20"/>
                <c:pt idx="0">
                  <c:v>4.0605025319637136</c:v>
                </c:pt>
                <c:pt idx="1">
                  <c:v>4.2898686548269271</c:v>
                </c:pt>
                <c:pt idx="2">
                  <c:v>4.3698501149910722</c:v>
                </c:pt>
                <c:pt idx="3">
                  <c:v>4.0699856627271922</c:v>
                </c:pt>
                <c:pt idx="4">
                  <c:v>4.1445056398600082</c:v>
                </c:pt>
                <c:pt idx="5">
                  <c:v>4.2882307013642578</c:v>
                </c:pt>
                <c:pt idx="6">
                  <c:v>4.0471696117972913</c:v>
                </c:pt>
                <c:pt idx="7">
                  <c:v>3.985599330000166</c:v>
                </c:pt>
                <c:pt idx="8">
                  <c:v>4.3553091240267934</c:v>
                </c:pt>
                <c:pt idx="9">
                  <c:v>3.9500236048691169</c:v>
                </c:pt>
                <c:pt idx="10">
                  <c:v>3.864181879297345</c:v>
                </c:pt>
                <c:pt idx="11">
                  <c:v>3.8016111925508036</c:v>
                </c:pt>
                <c:pt idx="12">
                  <c:v>3.5545658064874583</c:v>
                </c:pt>
                <c:pt idx="13">
                  <c:v>3.8305866844862275</c:v>
                </c:pt>
                <c:pt idx="14">
                  <c:v>3.3878073769016237</c:v>
                </c:pt>
                <c:pt idx="15">
                  <c:v>3.5033747167888794</c:v>
                </c:pt>
                <c:pt idx="16">
                  <c:v>3.3212124963736129</c:v>
                </c:pt>
                <c:pt idx="17">
                  <c:v>3.2662897865263578</c:v>
                </c:pt>
                <c:pt idx="18">
                  <c:v>3.1019125643711294</c:v>
                </c:pt>
                <c:pt idx="19">
                  <c:v>2.8489732369570961</c:v>
                </c:pt>
              </c:numCache>
            </c:numRef>
          </c:xVal>
          <c:yVal>
            <c:numRef>
              <c:f>Summary!$C$12:$V$12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0.16249999999999998</c:v>
                </c:pt>
                <c:pt idx="7">
                  <c:v>0.1875</c:v>
                </c:pt>
                <c:pt idx="8">
                  <c:v>0.21250000000000002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AA-4519-B1B2-88D775463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80160"/>
        <c:axId val="591867648"/>
      </c:scatterChart>
      <c:valAx>
        <c:axId val="5918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 / (-dp/dx*h^2/mu/2)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67648"/>
        <c:crosses val="autoZero"/>
        <c:crossBetween val="midCat"/>
        <c:majorUnit val="1"/>
      </c:valAx>
      <c:valAx>
        <c:axId val="5918676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801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Jm</a:t>
            </a:r>
            <a:endParaRPr lang="ru-RU"/>
          </a:p>
        </c:rich>
      </c:tx>
      <c:layout>
        <c:manualLayout>
          <c:xMode val="edge"/>
          <c:yMode val="edge"/>
          <c:x val="0.27890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Summary!$C$150</c:f>
              <c:strCache>
                <c:ptCount val="1"/>
                <c:pt idx="0">
                  <c:v>EDMD L=50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Summary!$E$153:$E$161</c:f>
              <c:numCache>
                <c:formatCode>General</c:formatCode>
                <c:ptCount val="9"/>
                <c:pt idx="0">
                  <c:v>8.4438064679557539E-3</c:v>
                </c:pt>
                <c:pt idx="1">
                  <c:v>1.1380630172384922E-2</c:v>
                </c:pt>
                <c:pt idx="2">
                  <c:v>1.4205365335127673E-2</c:v>
                </c:pt>
                <c:pt idx="3">
                  <c:v>1.6943000879737623E-2</c:v>
                </c:pt>
                <c:pt idx="4">
                  <c:v>1.9743224438374198E-2</c:v>
                </c:pt>
                <c:pt idx="5">
                  <c:v>2.2864723640316494E-2</c:v>
                </c:pt>
                <c:pt idx="6">
                  <c:v>2.5477723488304873E-2</c:v>
                </c:pt>
                <c:pt idx="7">
                  <c:v>5.4180289651647284E-2</c:v>
                </c:pt>
                <c:pt idx="8">
                  <c:v>8.2525667348290838E-2</c:v>
                </c:pt>
              </c:numCache>
            </c:numRef>
          </c:xVal>
          <c:yVal>
            <c:numRef>
              <c:f>Summary!$G$153:$G$161</c:f>
              <c:numCache>
                <c:formatCode>General</c:formatCode>
                <c:ptCount val="9"/>
                <c:pt idx="0">
                  <c:v>3.7349717701760208E-6</c:v>
                </c:pt>
                <c:pt idx="1">
                  <c:v>3.8997010959814016E-6</c:v>
                </c:pt>
                <c:pt idx="2">
                  <c:v>3.6213882431086019E-6</c:v>
                </c:pt>
                <c:pt idx="3">
                  <c:v>3.565592826303554E-6</c:v>
                </c:pt>
                <c:pt idx="4">
                  <c:v>3.8598472268349389E-6</c:v>
                </c:pt>
                <c:pt idx="5">
                  <c:v>3.606775157754899E-6</c:v>
                </c:pt>
                <c:pt idx="6">
                  <c:v>3.4081700431750251E-6</c:v>
                </c:pt>
                <c:pt idx="7">
                  <c:v>2.7937562271670539E-6</c:v>
                </c:pt>
                <c:pt idx="8">
                  <c:v>3.0567917635337099E-6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9CC-832E-DC221C3C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69280"/>
        <c:axId val="591875264"/>
      </c:scatterChart>
      <c:valAx>
        <c:axId val="59186928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75264"/>
        <c:crosses val="autoZero"/>
        <c:crossBetween val="midCat"/>
      </c:valAx>
      <c:valAx>
        <c:axId val="5918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Лом/МСЦ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Summary!$E$292:$E$301</c:f>
              <c:numCache>
                <c:formatCode>General</c:formatCode>
                <c:ptCount val="10"/>
                <c:pt idx="0">
                  <c:v>0.93181818181818177</c:v>
                </c:pt>
                <c:pt idx="1">
                  <c:v>1.1131386861313868</c:v>
                </c:pt>
                <c:pt idx="2">
                  <c:v>1.4068627450980393</c:v>
                </c:pt>
                <c:pt idx="3">
                  <c:v>1.6219512195121952</c:v>
                </c:pt>
                <c:pt idx="4">
                  <c:v>1.3752913752913754</c:v>
                </c:pt>
                <c:pt idx="5">
                  <c:v>1.5499999999999998</c:v>
                </c:pt>
                <c:pt idx="6">
                  <c:v>1.7741935483870968</c:v>
                </c:pt>
                <c:pt idx="7">
                  <c:v>1.8181818181818183</c:v>
                </c:pt>
                <c:pt idx="8">
                  <c:v>1.2380952380952381</c:v>
                </c:pt>
                <c:pt idx="9">
                  <c:v>1.2626262626262625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2-4F2C-8F9D-037B5309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72544"/>
        <c:axId val="591876896"/>
      </c:lineChart>
      <c:catAx>
        <c:axId val="5918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76896"/>
        <c:crosses val="autoZero"/>
        <c:auto val="1"/>
        <c:lblAlgn val="ctr"/>
        <c:lblOffset val="100"/>
        <c:noMultiLvlLbl val="0"/>
      </c:catAx>
      <c:valAx>
        <c:axId val="5918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image" Target="../media/image3.png"/><Relationship Id="rId26" Type="http://schemas.openxmlformats.org/officeDocument/2006/relationships/chart" Target="../charts/chart28.xml"/><Relationship Id="rId3" Type="http://schemas.openxmlformats.org/officeDocument/2006/relationships/chart" Target="../charts/chart8.xml"/><Relationship Id="rId21" Type="http://schemas.openxmlformats.org/officeDocument/2006/relationships/chart" Target="../charts/chart23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image" Target="../media/image2.png"/><Relationship Id="rId25" Type="http://schemas.openxmlformats.org/officeDocument/2006/relationships/chart" Target="../charts/chart27.xml"/><Relationship Id="rId2" Type="http://schemas.openxmlformats.org/officeDocument/2006/relationships/chart" Target="../charts/chart7.xml"/><Relationship Id="rId16" Type="http://schemas.openxmlformats.org/officeDocument/2006/relationships/chart" Target="../charts/chart20.xml"/><Relationship Id="rId20" Type="http://schemas.openxmlformats.org/officeDocument/2006/relationships/chart" Target="../charts/chart22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6.xml"/><Relationship Id="rId5" Type="http://schemas.openxmlformats.org/officeDocument/2006/relationships/chart" Target="../charts/chart10.xml"/><Relationship Id="rId15" Type="http://schemas.openxmlformats.org/officeDocument/2006/relationships/chart" Target="../charts/chart19.xml"/><Relationship Id="rId23" Type="http://schemas.openxmlformats.org/officeDocument/2006/relationships/chart" Target="../charts/chart25.xml"/><Relationship Id="rId10" Type="http://schemas.openxmlformats.org/officeDocument/2006/relationships/chart" Target="../charts/chart15.xml"/><Relationship Id="rId19" Type="http://schemas.openxmlformats.org/officeDocument/2006/relationships/chart" Target="../charts/chart21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image" Target="../media/image1.png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323850</xdr:colOff>
      <xdr:row>10</xdr:row>
      <xdr:rowOff>0</xdr:rowOff>
    </xdr:from>
    <xdr:to>
      <xdr:col>49</xdr:col>
      <xdr:colOff>342900</xdr:colOff>
      <xdr:row>37</xdr:row>
      <xdr:rowOff>85727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381000</xdr:colOff>
      <xdr:row>39</xdr:row>
      <xdr:rowOff>123825</xdr:rowOff>
    </xdr:from>
    <xdr:to>
      <xdr:col>49</xdr:col>
      <xdr:colOff>400050</xdr:colOff>
      <xdr:row>67</xdr:row>
      <xdr:rowOff>47627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242887</xdr:colOff>
      <xdr:row>69</xdr:row>
      <xdr:rowOff>9525</xdr:rowOff>
    </xdr:from>
    <xdr:to>
      <xdr:col>47</xdr:col>
      <xdr:colOff>547687</xdr:colOff>
      <xdr:row>86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0</xdr:colOff>
      <xdr:row>11</xdr:row>
      <xdr:rowOff>0</xdr:rowOff>
    </xdr:from>
    <xdr:to>
      <xdr:col>71</xdr:col>
      <xdr:colOff>19050</xdr:colOff>
      <xdr:row>38</xdr:row>
      <xdr:rowOff>99062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A1290A-0C04-465D-8E47-EE75AA7F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541020</xdr:colOff>
      <xdr:row>39</xdr:row>
      <xdr:rowOff>121920</xdr:rowOff>
    </xdr:from>
    <xdr:to>
      <xdr:col>64</xdr:col>
      <xdr:colOff>236220</xdr:colOff>
      <xdr:row>56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CD3150E-9FA2-4538-BBDE-F8FF0616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30</xdr:row>
      <xdr:rowOff>76200</xdr:rowOff>
    </xdr:from>
    <xdr:to>
      <xdr:col>10</xdr:col>
      <xdr:colOff>466725</xdr:colOff>
      <xdr:row>56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30</xdr:row>
      <xdr:rowOff>76200</xdr:rowOff>
    </xdr:from>
    <xdr:to>
      <xdr:col>21</xdr:col>
      <xdr:colOff>542926</xdr:colOff>
      <xdr:row>56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147</xdr:row>
      <xdr:rowOff>71437</xdr:rowOff>
    </xdr:from>
    <xdr:to>
      <xdr:col>25</xdr:col>
      <xdr:colOff>257175</xdr:colOff>
      <xdr:row>164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1266825</xdr:colOff>
      <xdr:row>302</xdr:row>
      <xdr:rowOff>71437</xdr:rowOff>
    </xdr:from>
    <xdr:to>
      <xdr:col>5</xdr:col>
      <xdr:colOff>914400</xdr:colOff>
      <xdr:row>315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330</xdr:row>
      <xdr:rowOff>161923</xdr:rowOff>
    </xdr:from>
    <xdr:to>
      <xdr:col>9</xdr:col>
      <xdr:colOff>523875</xdr:colOff>
      <xdr:row>358</xdr:row>
      <xdr:rowOff>95250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361</xdr:row>
      <xdr:rowOff>0</xdr:rowOff>
    </xdr:from>
    <xdr:to>
      <xdr:col>9</xdr:col>
      <xdr:colOff>9525</xdr:colOff>
      <xdr:row>386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361</xdr:row>
      <xdr:rowOff>0</xdr:rowOff>
    </xdr:from>
    <xdr:to>
      <xdr:col>17</xdr:col>
      <xdr:colOff>266700</xdr:colOff>
      <xdr:row>386</xdr:row>
      <xdr:rowOff>95250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388</xdr:row>
      <xdr:rowOff>100012</xdr:rowOff>
    </xdr:from>
    <xdr:to>
      <xdr:col>1</xdr:col>
      <xdr:colOff>1352550</xdr:colOff>
      <xdr:row>402</xdr:row>
      <xdr:rowOff>95250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402</xdr:row>
      <xdr:rowOff>161924</xdr:rowOff>
    </xdr:from>
    <xdr:to>
      <xdr:col>1</xdr:col>
      <xdr:colOff>1247775</xdr:colOff>
      <xdr:row>425</xdr:row>
      <xdr:rowOff>38100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295275</xdr:colOff>
      <xdr:row>417</xdr:row>
      <xdr:rowOff>47626</xdr:rowOff>
    </xdr:from>
    <xdr:to>
      <xdr:col>17</xdr:col>
      <xdr:colOff>390525</xdr:colOff>
      <xdr:row>440</xdr:row>
      <xdr:rowOff>47627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609599</xdr:colOff>
      <xdr:row>467</xdr:row>
      <xdr:rowOff>0</xdr:rowOff>
    </xdr:from>
    <xdr:to>
      <xdr:col>9</xdr:col>
      <xdr:colOff>657224</xdr:colOff>
      <xdr:row>491</xdr:row>
      <xdr:rowOff>9525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581025</xdr:colOff>
      <xdr:row>481</xdr:row>
      <xdr:rowOff>71436</xdr:rowOff>
    </xdr:from>
    <xdr:to>
      <xdr:col>26</xdr:col>
      <xdr:colOff>228600</xdr:colOff>
      <xdr:row>506</xdr:row>
      <xdr:rowOff>66674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455</xdr:row>
      <xdr:rowOff>38100</xdr:rowOff>
    </xdr:from>
    <xdr:to>
      <xdr:col>24</xdr:col>
      <xdr:colOff>104775</xdr:colOff>
      <xdr:row>480</xdr:row>
      <xdr:rowOff>33338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95250</xdr:colOff>
      <xdr:row>169</xdr:row>
      <xdr:rowOff>142875</xdr:rowOff>
    </xdr:from>
    <xdr:to>
      <xdr:col>21</xdr:col>
      <xdr:colOff>132725</xdr:colOff>
      <xdr:row>213</xdr:row>
      <xdr:rowOff>27699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906375" y="27536775"/>
          <a:ext cx="5000000" cy="7009524"/>
        </a:xfrm>
        <a:prstGeom prst="rect">
          <a:avLst/>
        </a:prstGeom>
      </xdr:spPr>
    </xdr:pic>
    <xdr:clientData/>
  </xdr:twoCellAnchor>
  <xdr:twoCellAnchor>
    <xdr:from>
      <xdr:col>14</xdr:col>
      <xdr:colOff>590550</xdr:colOff>
      <xdr:row>179</xdr:row>
      <xdr:rowOff>95251</xdr:rowOff>
    </xdr:from>
    <xdr:to>
      <xdr:col>20</xdr:col>
      <xdr:colOff>152401</xdr:colOff>
      <xdr:row>211</xdr:row>
      <xdr:rowOff>19051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619126</xdr:colOff>
      <xdr:row>331</xdr:row>
      <xdr:rowOff>0</xdr:rowOff>
    </xdr:from>
    <xdr:to>
      <xdr:col>16</xdr:col>
      <xdr:colOff>419100</xdr:colOff>
      <xdr:row>358</xdr:row>
      <xdr:rowOff>95252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26</xdr:col>
      <xdr:colOff>0</xdr:colOff>
      <xdr:row>170</xdr:row>
      <xdr:rowOff>0</xdr:rowOff>
    </xdr:from>
    <xdr:to>
      <xdr:col>33</xdr:col>
      <xdr:colOff>189875</xdr:colOff>
      <xdr:row>213</xdr:row>
      <xdr:rowOff>46749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155025" y="27555825"/>
          <a:ext cx="5000000" cy="7009524"/>
        </a:xfrm>
        <a:prstGeom prst="rect">
          <a:avLst/>
        </a:prstGeom>
      </xdr:spPr>
    </xdr:pic>
    <xdr:clientData/>
  </xdr:twoCellAnchor>
  <xdr:twoCellAnchor editAs="oneCell">
    <xdr:from>
      <xdr:col>39</xdr:col>
      <xdr:colOff>47625</xdr:colOff>
      <xdr:row>169</xdr:row>
      <xdr:rowOff>9525</xdr:rowOff>
    </xdr:from>
    <xdr:to>
      <xdr:col>46</xdr:col>
      <xdr:colOff>351800</xdr:colOff>
      <xdr:row>212</xdr:row>
      <xdr:rowOff>56274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670375" y="27403425"/>
          <a:ext cx="5000000" cy="7009524"/>
        </a:xfrm>
        <a:prstGeom prst="rect">
          <a:avLst/>
        </a:prstGeom>
      </xdr:spPr>
    </xdr:pic>
    <xdr:clientData/>
  </xdr:twoCellAnchor>
  <xdr:twoCellAnchor>
    <xdr:from>
      <xdr:col>26</xdr:col>
      <xdr:colOff>323850</xdr:colOff>
      <xdr:row>183</xdr:row>
      <xdr:rowOff>0</xdr:rowOff>
    </xdr:from>
    <xdr:to>
      <xdr:col>32</xdr:col>
      <xdr:colOff>9525</xdr:colOff>
      <xdr:row>206</xdr:row>
      <xdr:rowOff>133349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219075</xdr:colOff>
      <xdr:row>178</xdr:row>
      <xdr:rowOff>57150</xdr:rowOff>
    </xdr:from>
    <xdr:to>
      <xdr:col>45</xdr:col>
      <xdr:colOff>66675</xdr:colOff>
      <xdr:row>206</xdr:row>
      <xdr:rowOff>95251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331</xdr:row>
      <xdr:rowOff>0</xdr:rowOff>
    </xdr:from>
    <xdr:to>
      <xdr:col>24</xdr:col>
      <xdr:colOff>400049</xdr:colOff>
      <xdr:row>358</xdr:row>
      <xdr:rowOff>95252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542925</xdr:colOff>
      <xdr:row>233</xdr:row>
      <xdr:rowOff>9525</xdr:rowOff>
    </xdr:from>
    <xdr:to>
      <xdr:col>34</xdr:col>
      <xdr:colOff>342899</xdr:colOff>
      <xdr:row>255</xdr:row>
      <xdr:rowOff>123827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104775</xdr:colOff>
      <xdr:row>259</xdr:row>
      <xdr:rowOff>38100</xdr:rowOff>
    </xdr:from>
    <xdr:to>
      <xdr:col>62</xdr:col>
      <xdr:colOff>380999</xdr:colOff>
      <xdr:row>281</xdr:row>
      <xdr:rowOff>152402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352425</xdr:colOff>
      <xdr:row>302</xdr:row>
      <xdr:rowOff>9525</xdr:rowOff>
    </xdr:from>
    <xdr:to>
      <xdr:col>14</xdr:col>
      <xdr:colOff>152400</xdr:colOff>
      <xdr:row>329</xdr:row>
      <xdr:rowOff>95252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0</xdr:colOff>
      <xdr:row>455</xdr:row>
      <xdr:rowOff>0</xdr:rowOff>
    </xdr:from>
    <xdr:to>
      <xdr:col>34</xdr:col>
      <xdr:colOff>485775</xdr:colOff>
      <xdr:row>479</xdr:row>
      <xdr:rowOff>157163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303</xdr:row>
      <xdr:rowOff>0</xdr:rowOff>
    </xdr:from>
    <xdr:to>
      <xdr:col>23</xdr:col>
      <xdr:colOff>495300</xdr:colOff>
      <xdr:row>330</xdr:row>
      <xdr:rowOff>85727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86</xdr:col>
      <xdr:colOff>190500</xdr:colOff>
      <xdr:row>233</xdr:row>
      <xdr:rowOff>38100</xdr:rowOff>
    </xdr:from>
    <xdr:to>
      <xdr:col>96</xdr:col>
      <xdr:colOff>295275</xdr:colOff>
      <xdr:row>260</xdr:row>
      <xdr:rowOff>133352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13</xdr:row>
      <xdr:rowOff>76200</xdr:rowOff>
    </xdr:from>
    <xdr:to>
      <xdr:col>13</xdr:col>
      <xdr:colOff>504825</xdr:colOff>
      <xdr:row>42</xdr:row>
      <xdr:rowOff>123825</xdr:rowOff>
    </xdr:to>
    <xdr:graphicFrame macro="">
      <xdr:nvGraphicFramePr>
        <xdr:cNvPr id="1025" name="Диаграмма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12</xdr:col>
      <xdr:colOff>190500</xdr:colOff>
      <xdr:row>78</xdr:row>
      <xdr:rowOff>57150</xdr:rowOff>
    </xdr:to>
    <xdr:graphicFrame macro="">
      <xdr:nvGraphicFramePr>
        <xdr:cNvPr id="1026" name="Диаграмма 2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12</xdr:col>
      <xdr:colOff>190500</xdr:colOff>
      <xdr:row>108</xdr:row>
      <xdr:rowOff>57150</xdr:rowOff>
    </xdr:to>
    <xdr:graphicFrame macro="">
      <xdr:nvGraphicFramePr>
        <xdr:cNvPr id="1027" name="Диаграмма 3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62"/>
  <sheetViews>
    <sheetView tabSelected="1" topLeftCell="AY3" workbookViewId="0">
      <selection activeCell="BU11" sqref="BU11"/>
    </sheetView>
  </sheetViews>
  <sheetFormatPr defaultRowHeight="13.2" x14ac:dyDescent="0.25"/>
  <cols>
    <col min="11" max="11" width="12.44140625" bestFit="1" customWidth="1"/>
    <col min="13" max="13" width="12.44140625" bestFit="1" customWidth="1"/>
    <col min="14" max="17" width="11.5546875" customWidth="1"/>
    <col min="23" max="23" width="11.5546875" customWidth="1"/>
    <col min="24" max="24" width="11" customWidth="1"/>
    <col min="31" max="35" width="11.109375" customWidth="1"/>
    <col min="36" max="36" width="12.44140625" bestFit="1" customWidth="1"/>
  </cols>
  <sheetData>
    <row r="2" spans="1:60" x14ac:dyDescent="0.25">
      <c r="F2" t="s">
        <v>12</v>
      </c>
      <c r="G2">
        <f>1.38*10^(-3)</f>
        <v>1.3799999999999999E-3</v>
      </c>
    </row>
    <row r="4" spans="1:60" x14ac:dyDescent="0.25">
      <c r="G4" t="s">
        <v>263</v>
      </c>
      <c r="H4" t="s">
        <v>262</v>
      </c>
      <c r="I4" t="s">
        <v>19</v>
      </c>
      <c r="K4" t="s">
        <v>276</v>
      </c>
    </row>
    <row r="5" spans="1:60" x14ac:dyDescent="0.25">
      <c r="F5" t="s">
        <v>261</v>
      </c>
      <c r="G5">
        <v>1.82</v>
      </c>
      <c r="H5">
        <v>3.2000000000000001E-2</v>
      </c>
      <c r="I5">
        <f>G5*2</f>
        <v>3.64</v>
      </c>
      <c r="J5">
        <f>4/3*PI()*G5^3</f>
        <v>25.252406587288686</v>
      </c>
      <c r="K5">
        <f>H5/6.023/1000</f>
        <v>5.3129669599867179E-6</v>
      </c>
    </row>
    <row r="7" spans="1:60" x14ac:dyDescent="0.25">
      <c r="F7" t="s">
        <v>270</v>
      </c>
      <c r="G7">
        <v>1.6</v>
      </c>
      <c r="J7">
        <v>0.5</v>
      </c>
    </row>
    <row r="10" spans="1:60" ht="13.8" x14ac:dyDescent="0.25">
      <c r="C10" s="12" t="s">
        <v>257</v>
      </c>
      <c r="F10" s="12" t="s">
        <v>107</v>
      </c>
      <c r="G10" s="12">
        <v>500000</v>
      </c>
      <c r="AB10" t="s">
        <v>281</v>
      </c>
      <c r="AH10" s="88" t="s">
        <v>288</v>
      </c>
    </row>
    <row r="11" spans="1:60" x14ac:dyDescent="0.25">
      <c r="A11" t="s">
        <v>277</v>
      </c>
      <c r="C11" s="75" t="s">
        <v>8</v>
      </c>
      <c r="D11" s="75" t="s">
        <v>107</v>
      </c>
      <c r="E11" s="75" t="s">
        <v>28</v>
      </c>
      <c r="F11" s="75" t="s">
        <v>258</v>
      </c>
      <c r="G11" s="75" t="s">
        <v>259</v>
      </c>
      <c r="H11" s="75" t="s">
        <v>260</v>
      </c>
      <c r="I11" s="75" t="s">
        <v>11</v>
      </c>
      <c r="J11" s="75" t="s">
        <v>25</v>
      </c>
      <c r="K11" s="75" t="s">
        <v>23</v>
      </c>
      <c r="L11" s="75" t="s">
        <v>265</v>
      </c>
      <c r="M11" s="75" t="s">
        <v>95</v>
      </c>
      <c r="N11" s="75" t="s">
        <v>96</v>
      </c>
      <c r="O11" s="75" t="s">
        <v>267</v>
      </c>
      <c r="P11" s="75" t="s">
        <v>268</v>
      </c>
      <c r="Q11" s="75" t="s">
        <v>269</v>
      </c>
      <c r="R11" s="84" t="s">
        <v>8</v>
      </c>
      <c r="S11" s="84" t="s">
        <v>264</v>
      </c>
      <c r="T11" s="84" t="s">
        <v>266</v>
      </c>
      <c r="U11" s="84" t="s">
        <v>69</v>
      </c>
      <c r="V11" s="42" t="s">
        <v>67</v>
      </c>
      <c r="W11" s="84" t="s">
        <v>272</v>
      </c>
      <c r="X11" s="84" t="s">
        <v>271</v>
      </c>
      <c r="Y11" s="84" t="s">
        <v>273</v>
      </c>
      <c r="Z11" s="84" t="s">
        <v>69</v>
      </c>
      <c r="AB11" s="26" t="s">
        <v>200</v>
      </c>
      <c r="AC11" s="26" t="s">
        <v>274</v>
      </c>
      <c r="AD11" s="26" t="s">
        <v>275</v>
      </c>
      <c r="AE11" s="86" t="s">
        <v>283</v>
      </c>
      <c r="AF11" s="86" t="s">
        <v>123</v>
      </c>
      <c r="AG11" s="86" t="s">
        <v>284</v>
      </c>
      <c r="AH11" s="86"/>
      <c r="AI11" s="86"/>
      <c r="AJ11" s="42" t="s">
        <v>181</v>
      </c>
      <c r="AK11" s="86" t="s">
        <v>279</v>
      </c>
      <c r="AL11" s="86" t="s">
        <v>278</v>
      </c>
      <c r="AM11" s="86" t="s">
        <v>280</v>
      </c>
      <c r="AZ11" t="s">
        <v>294</v>
      </c>
    </row>
    <row r="12" spans="1:60" x14ac:dyDescent="0.25">
      <c r="A12">
        <v>0</v>
      </c>
      <c r="B12" t="s">
        <v>158</v>
      </c>
      <c r="C12">
        <v>0</v>
      </c>
      <c r="D12">
        <f>$G$10</f>
        <v>500000</v>
      </c>
      <c r="E12">
        <v>10</v>
      </c>
      <c r="F12">
        <v>5</v>
      </c>
      <c r="G12">
        <v>5</v>
      </c>
      <c r="H12">
        <v>1.1000000000000001</v>
      </c>
      <c r="I12">
        <f>ROUND(0.1*$G$7^C12,2)</f>
        <v>0.1</v>
      </c>
      <c r="J12">
        <v>1000</v>
      </c>
      <c r="K12">
        <v>300</v>
      </c>
      <c r="L12">
        <f>ROUND(D12/S12/R12,0)</f>
        <v>54</v>
      </c>
      <c r="M12">
        <f>N12*H12</f>
        <v>7.7361590232525134E-5</v>
      </c>
      <c r="N12">
        <f>R12*$G$2*K12</f>
        <v>7.032871839320466E-5</v>
      </c>
      <c r="O12">
        <f>ROUND(J12*(E12+F12)/U12/$J$7,0)</f>
        <v>1661</v>
      </c>
      <c r="P12">
        <f t="shared" ref="P12:P27" si="0">ROUND(IF(J12*G12&gt;0,J12*G12,J12/2)/U12/$J$7,0)</f>
        <v>554</v>
      </c>
      <c r="Q12">
        <f>ROUND(L12/U12/$J$7,0)</f>
        <v>6</v>
      </c>
      <c r="R12">
        <f>1/(SQRT(2)*PI()*($I$5^2)*I12*J12)</f>
        <v>1.6987613138455234E-4</v>
      </c>
      <c r="S12">
        <f>J12/2*J12*E12+2*J12*J12*G12*F12</f>
        <v>55000000</v>
      </c>
      <c r="T12">
        <f>$J$5*R12</f>
        <v>4.2897811391983875E-3</v>
      </c>
      <c r="U12">
        <f>(1/R12)^(1/3)</f>
        <v>18.056041570190434</v>
      </c>
      <c r="V12">
        <f t="shared" ref="V12:V27" si="1">1/I12</f>
        <v>10</v>
      </c>
      <c r="W12">
        <f>O12*P12*Q12</f>
        <v>5521164</v>
      </c>
      <c r="X12">
        <f>1/2*(H12-1)*SQRT(PI()/2*8.31/$H$5*K12)/E12/I12</f>
        <v>17.491058525312663</v>
      </c>
      <c r="Y12">
        <f>E12*J12/X12</f>
        <v>571.72068720302013</v>
      </c>
      <c r="Z12">
        <f>V12*SQRT(PI())/4</f>
        <v>4.4311346272637895</v>
      </c>
      <c r="AA12">
        <v>0</v>
      </c>
      <c r="AB12">
        <v>19.718010772043002</v>
      </c>
      <c r="AC12">
        <v>48.000050000000002</v>
      </c>
      <c r="AD12">
        <v>1180.02</v>
      </c>
      <c r="AE12">
        <v>1.41528961332113E-2</v>
      </c>
      <c r="AJ12">
        <f>AB12*$K$5/(0.5*(M12-N12)/E12*J12*SQRT(PI()/2/(8.31/$H$5)/K12))*2/L12</f>
        <v>2.457310036531847</v>
      </c>
      <c r="AK12">
        <f>AE12*AJ12</f>
        <v>3.4778053714132895E-2</v>
      </c>
      <c r="AL12">
        <f>AJ12*AF12</f>
        <v>0</v>
      </c>
      <c r="AM12">
        <f>AJ12*SQRT(PI())/2</f>
        <v>2.177734318559823</v>
      </c>
      <c r="AZ12" t="s">
        <v>11</v>
      </c>
      <c r="BA12" t="s">
        <v>181</v>
      </c>
      <c r="BB12" t="s">
        <v>290</v>
      </c>
      <c r="BC12" t="s">
        <v>291</v>
      </c>
      <c r="BD12" t="s">
        <v>67</v>
      </c>
      <c r="BE12" t="s">
        <v>69</v>
      </c>
      <c r="BG12" t="s">
        <v>292</v>
      </c>
      <c r="BH12">
        <v>500</v>
      </c>
    </row>
    <row r="13" spans="1:60" x14ac:dyDescent="0.25">
      <c r="A13">
        <v>1</v>
      </c>
      <c r="B13" t="s">
        <v>158</v>
      </c>
      <c r="C13">
        <v>1</v>
      </c>
      <c r="D13">
        <f t="shared" ref="D13:D43" si="2">$G$10</f>
        <v>500000</v>
      </c>
      <c r="E13">
        <v>10</v>
      </c>
      <c r="F13">
        <v>5</v>
      </c>
      <c r="G13">
        <v>5</v>
      </c>
      <c r="H13">
        <v>1.1000000000000001</v>
      </c>
      <c r="I13">
        <f t="shared" ref="I13:I43" si="3">ROUND(0.1*$G$7^C13,2)</f>
        <v>0.16</v>
      </c>
      <c r="J13">
        <v>1000</v>
      </c>
      <c r="K13">
        <v>300</v>
      </c>
      <c r="L13">
        <f t="shared" ref="L13:L27" si="4">ROUND(D13/S13/R13,0)</f>
        <v>86</v>
      </c>
      <c r="M13">
        <f t="shared" ref="M13:M27" si="5">N13*H13</f>
        <v>4.8350993895328224E-5</v>
      </c>
      <c r="N13">
        <f t="shared" ref="N13:N27" si="6">R13*$G$2*K13</f>
        <v>4.3955448995752926E-5</v>
      </c>
      <c r="O13">
        <f t="shared" ref="O13:O27" si="7">ROUND(J13*(E13+F13)/U13/$J$7,0)</f>
        <v>1421</v>
      </c>
      <c r="P13">
        <f t="shared" si="0"/>
        <v>474</v>
      </c>
      <c r="Q13">
        <f t="shared" ref="Q13:Q27" si="8">ROUND(L13/U13/$J$7,0)</f>
        <v>8</v>
      </c>
      <c r="R13">
        <f t="shared" ref="R13:R27" si="9">1/(SQRT(2)*PI()*($I$5^2)*I13*J13)</f>
        <v>1.0617258211534524E-4</v>
      </c>
      <c r="S13">
        <f t="shared" ref="S13:S27" si="10">J13/2*J13*E13+2*J13*J13*G13*F13</f>
        <v>55000000</v>
      </c>
      <c r="T13">
        <f t="shared" ref="T13:T27" si="11">$J$5*R13</f>
        <v>2.6811132119989932E-3</v>
      </c>
      <c r="U13">
        <f t="shared" ref="U13:U27" si="12">(1/R13)^(1/3)</f>
        <v>21.11847433325828</v>
      </c>
      <c r="V13">
        <f t="shared" si="1"/>
        <v>6.25</v>
      </c>
      <c r="W13">
        <f t="shared" ref="W13:W43" si="13">O13*P13*Q13</f>
        <v>5388432</v>
      </c>
      <c r="X13">
        <f t="shared" ref="X13:X43" si="14">1/2*(H13-1)*SQRT(PI()/2*8.31/$H$5*K13)/E13/I13</f>
        <v>10.931911578320415</v>
      </c>
      <c r="Y13">
        <f t="shared" ref="Y13:Y43" si="15">E13*J13/X13</f>
        <v>914.75309952483224</v>
      </c>
      <c r="Z13">
        <f t="shared" ref="Z13:Z43" si="16">V13*SQRT(PI())/4</f>
        <v>2.7694591420398686</v>
      </c>
      <c r="AA13">
        <v>1</v>
      </c>
      <c r="AB13">
        <v>15.517036122580601</v>
      </c>
      <c r="AC13">
        <v>56.141269999999999</v>
      </c>
      <c r="AD13">
        <v>1350.92</v>
      </c>
      <c r="AE13">
        <v>1.4730249771557E-2</v>
      </c>
      <c r="AJ13">
        <f t="shared" ref="AJ13:AJ43" si="17">AB13*$K$5/(0.5*(M13-N13)/E13*J13*SQRT(PI()/2/(8.31/$H$5)/K13))*2/L13</f>
        <v>1.9427678920309555</v>
      </c>
      <c r="AK13">
        <f t="shared" ref="AK13:AK43" si="18">AE13*AJ13</f>
        <v>2.8617456297777254E-2</v>
      </c>
      <c r="AL13">
        <f t="shared" ref="AL13:AL43" si="19">AJ13*AF13</f>
        <v>0</v>
      </c>
      <c r="AM13">
        <f t="shared" ref="AM13:AM43" si="20">AJ13*SQRT(PI())/2</f>
        <v>1.7217332158229293</v>
      </c>
      <c r="AZ13">
        <v>0.01</v>
      </c>
      <c r="BC13">
        <v>2.98</v>
      </c>
      <c r="BD13">
        <f>1/AZ13</f>
        <v>100</v>
      </c>
      <c r="BE13">
        <f>SQRT(PI())/4*BD13</f>
        <v>44.311346272637898</v>
      </c>
      <c r="BG13" t="s">
        <v>293</v>
      </c>
      <c r="BH13">
        <v>50</v>
      </c>
    </row>
    <row r="14" spans="1:60" x14ac:dyDescent="0.25">
      <c r="A14">
        <v>2</v>
      </c>
      <c r="B14" t="s">
        <v>158</v>
      </c>
      <c r="C14">
        <v>2</v>
      </c>
      <c r="D14">
        <f t="shared" si="2"/>
        <v>500000</v>
      </c>
      <c r="E14">
        <v>10</v>
      </c>
      <c r="F14">
        <v>5</v>
      </c>
      <c r="G14">
        <v>5</v>
      </c>
      <c r="H14">
        <v>1.1000000000000001</v>
      </c>
      <c r="I14">
        <f t="shared" si="3"/>
        <v>0.26</v>
      </c>
      <c r="J14">
        <v>1000</v>
      </c>
      <c r="K14">
        <v>300</v>
      </c>
      <c r="L14">
        <f t="shared" si="4"/>
        <v>139</v>
      </c>
      <c r="M14">
        <f t="shared" si="5"/>
        <v>2.9754457781740443E-5</v>
      </c>
      <c r="N14">
        <f t="shared" si="6"/>
        <v>2.7049507074309491E-5</v>
      </c>
      <c r="O14">
        <f t="shared" si="7"/>
        <v>1208</v>
      </c>
      <c r="P14">
        <f t="shared" si="0"/>
        <v>403</v>
      </c>
      <c r="Q14">
        <f t="shared" si="8"/>
        <v>11</v>
      </c>
      <c r="R14">
        <f t="shared" si="9"/>
        <v>6.5336973609443215E-5</v>
      </c>
      <c r="S14">
        <f t="shared" si="10"/>
        <v>55000000</v>
      </c>
      <c r="T14">
        <f t="shared" si="11"/>
        <v>1.6499158227686109E-3</v>
      </c>
      <c r="U14">
        <f t="shared" si="12"/>
        <v>24.828300625765337</v>
      </c>
      <c r="V14">
        <f t="shared" si="1"/>
        <v>3.8461538461538458</v>
      </c>
      <c r="W14">
        <f t="shared" si="13"/>
        <v>5355064</v>
      </c>
      <c r="X14">
        <f t="shared" si="14"/>
        <v>6.7273302020433317</v>
      </c>
      <c r="Y14">
        <f t="shared" si="15"/>
        <v>1486.4737867278525</v>
      </c>
      <c r="Z14">
        <f t="shared" si="16"/>
        <v>1.7042825489476112</v>
      </c>
      <c r="AA14">
        <v>2</v>
      </c>
      <c r="AB14">
        <v>14.359007472043</v>
      </c>
      <c r="AC14">
        <v>66.003489999999999</v>
      </c>
      <c r="AD14">
        <v>1588.2329999999999</v>
      </c>
      <c r="AE14">
        <v>1.53818480958624E-2</v>
      </c>
      <c r="AJ14">
        <f t="shared" si="17"/>
        <v>1.8074803475409289</v>
      </c>
      <c r="AK14">
        <f t="shared" si="18"/>
        <v>2.7802388142131144E-2</v>
      </c>
      <c r="AL14">
        <f t="shared" si="19"/>
        <v>0</v>
      </c>
      <c r="AM14">
        <f t="shared" si="20"/>
        <v>1.6018377512174797</v>
      </c>
      <c r="AZ14">
        <v>4.3999999999999997E-2</v>
      </c>
      <c r="BA14">
        <v>4.5448099999999998E-2</v>
      </c>
      <c r="BC14">
        <f>BA14*$BH$16</f>
        <v>2.2264930955796811</v>
      </c>
      <c r="BD14">
        <f>1/AZ14</f>
        <v>22.72727272727273</v>
      </c>
      <c r="BE14">
        <f>SQRT(PI())/4*BD14</f>
        <v>10.070760516508614</v>
      </c>
      <c r="BG14" t="s">
        <v>95</v>
      </c>
      <c r="BH14">
        <v>1.01</v>
      </c>
    </row>
    <row r="15" spans="1:60" x14ac:dyDescent="0.25">
      <c r="A15">
        <v>3</v>
      </c>
      <c r="B15" t="s">
        <v>158</v>
      </c>
      <c r="C15">
        <v>3</v>
      </c>
      <c r="D15">
        <f t="shared" si="2"/>
        <v>500000</v>
      </c>
      <c r="E15">
        <v>10</v>
      </c>
      <c r="F15">
        <v>5</v>
      </c>
      <c r="G15">
        <v>5</v>
      </c>
      <c r="H15">
        <v>1.1000000000000001</v>
      </c>
      <c r="I15">
        <f t="shared" si="3"/>
        <v>0.41</v>
      </c>
      <c r="J15">
        <v>1000</v>
      </c>
      <c r="K15">
        <v>300</v>
      </c>
      <c r="L15">
        <f t="shared" si="4"/>
        <v>219</v>
      </c>
      <c r="M15">
        <f t="shared" si="5"/>
        <v>1.8868680544518332E-5</v>
      </c>
      <c r="N15">
        <f t="shared" si="6"/>
        <v>1.7153345949562118E-5</v>
      </c>
      <c r="O15">
        <f t="shared" si="7"/>
        <v>1038</v>
      </c>
      <c r="P15">
        <f t="shared" si="0"/>
        <v>346</v>
      </c>
      <c r="Q15">
        <f t="shared" si="8"/>
        <v>15</v>
      </c>
      <c r="R15">
        <f t="shared" si="9"/>
        <v>4.1433202776720092E-5</v>
      </c>
      <c r="S15">
        <f t="shared" si="10"/>
        <v>55000000</v>
      </c>
      <c r="T15">
        <f t="shared" si="11"/>
        <v>1.0462880827313142E-3</v>
      </c>
      <c r="U15">
        <f t="shared" si="12"/>
        <v>28.899067641023038</v>
      </c>
      <c r="V15">
        <f t="shared" si="1"/>
        <v>2.4390243902439024</v>
      </c>
      <c r="W15">
        <f t="shared" si="13"/>
        <v>5387220</v>
      </c>
      <c r="X15">
        <f t="shared" si="14"/>
        <v>4.2661118354421133</v>
      </c>
      <c r="Y15">
        <f t="shared" si="15"/>
        <v>2344.0548175323825</v>
      </c>
      <c r="Z15">
        <f t="shared" si="16"/>
        <v>1.0807645432350705</v>
      </c>
      <c r="AA15">
        <v>3</v>
      </c>
      <c r="AB15">
        <v>11.8925998455555</v>
      </c>
      <c r="AC15">
        <v>76.825119999999998</v>
      </c>
      <c r="AD15">
        <v>1835.83</v>
      </c>
      <c r="AE15">
        <v>1.66463283044825E-2</v>
      </c>
      <c r="AJ15">
        <f t="shared" si="17"/>
        <v>1.4983289226676801</v>
      </c>
      <c r="AK15">
        <f t="shared" si="18"/>
        <v>2.4941675154827776E-2</v>
      </c>
      <c r="AL15">
        <f t="shared" si="19"/>
        <v>0</v>
      </c>
      <c r="AM15">
        <f t="shared" si="20"/>
        <v>1.3278594344527213</v>
      </c>
      <c r="AZ15">
        <v>0.09</v>
      </c>
      <c r="BA15">
        <v>3.5437499999999997E-2</v>
      </c>
      <c r="BC15">
        <f t="shared" ref="BC15:BC23" si="21">BA15*$BH$16</f>
        <v>1.7360758551975757</v>
      </c>
      <c r="BD15">
        <f>1/AZ15</f>
        <v>11.111111111111111</v>
      </c>
      <c r="BE15">
        <f>SQRT(PI())/4*BD15</f>
        <v>4.9234829191819882</v>
      </c>
      <c r="BG15" t="s">
        <v>96</v>
      </c>
      <c r="BH15">
        <v>1</v>
      </c>
    </row>
    <row r="16" spans="1:60" x14ac:dyDescent="0.25">
      <c r="A16">
        <v>4</v>
      </c>
      <c r="B16" t="s">
        <v>158</v>
      </c>
      <c r="C16">
        <v>4</v>
      </c>
      <c r="D16">
        <f t="shared" si="2"/>
        <v>500000</v>
      </c>
      <c r="E16">
        <v>10</v>
      </c>
      <c r="F16">
        <v>5</v>
      </c>
      <c r="G16">
        <v>5</v>
      </c>
      <c r="H16">
        <v>1.1000000000000001</v>
      </c>
      <c r="I16">
        <f t="shared" si="3"/>
        <v>0.66</v>
      </c>
      <c r="J16">
        <v>1000</v>
      </c>
      <c r="K16">
        <v>300</v>
      </c>
      <c r="L16">
        <f t="shared" si="4"/>
        <v>353</v>
      </c>
      <c r="M16">
        <f t="shared" si="5"/>
        <v>1.1721453065534115E-5</v>
      </c>
      <c r="N16">
        <f t="shared" si="6"/>
        <v>1.065586642321283E-5</v>
      </c>
      <c r="O16">
        <f t="shared" si="7"/>
        <v>886</v>
      </c>
      <c r="P16">
        <f t="shared" si="0"/>
        <v>295</v>
      </c>
      <c r="Q16">
        <f t="shared" si="8"/>
        <v>21</v>
      </c>
      <c r="R16">
        <f t="shared" si="9"/>
        <v>2.5738807785538237E-5</v>
      </c>
      <c r="S16">
        <f t="shared" si="10"/>
        <v>55000000</v>
      </c>
      <c r="T16">
        <f t="shared" si="11"/>
        <v>6.4996683927248308E-4</v>
      </c>
      <c r="U16">
        <f t="shared" si="12"/>
        <v>33.869115710530828</v>
      </c>
      <c r="V16">
        <f t="shared" si="1"/>
        <v>1.5151515151515151</v>
      </c>
      <c r="W16">
        <f t="shared" si="13"/>
        <v>5488770</v>
      </c>
      <c r="X16">
        <f t="shared" si="14"/>
        <v>2.6501603826231306</v>
      </c>
      <c r="Y16">
        <f t="shared" si="15"/>
        <v>3773.3565355399332</v>
      </c>
      <c r="Z16">
        <f t="shared" si="16"/>
        <v>0.67138403443390748</v>
      </c>
      <c r="AA16">
        <v>4</v>
      </c>
      <c r="AB16">
        <v>11.4530290920454</v>
      </c>
      <c r="AC16">
        <v>90.037549999999996</v>
      </c>
      <c r="AD16">
        <v>2102.7840000000001</v>
      </c>
      <c r="AE16">
        <v>1.56173507494227E-2</v>
      </c>
      <c r="AJ16">
        <f t="shared" si="17"/>
        <v>1.4410538458415105</v>
      </c>
      <c r="AK16">
        <f t="shared" si="18"/>
        <v>2.2505443359311379E-2</v>
      </c>
      <c r="AL16">
        <f t="shared" si="19"/>
        <v>0</v>
      </c>
      <c r="AM16">
        <f t="shared" si="20"/>
        <v>1.2771007192119945</v>
      </c>
      <c r="AZ16">
        <v>0.1</v>
      </c>
      <c r="BA16">
        <v>3.44E-2</v>
      </c>
      <c r="BC16">
        <f t="shared" si="21"/>
        <v>1.685248943034825</v>
      </c>
      <c r="BD16">
        <f t="shared" ref="BD16:BD18" si="22">1/AZ16</f>
        <v>10</v>
      </c>
      <c r="BE16">
        <f t="shared" ref="BE16:BE18" si="23">SQRT(PI())/4*BD16</f>
        <v>4.4311346272637895</v>
      </c>
      <c r="BG16" t="s">
        <v>290</v>
      </c>
      <c r="BH16">
        <f>BH15/(BH14-BH15)*SQRT(6)*BH12/BH13/BH13</f>
        <v>48.989794855663519</v>
      </c>
    </row>
    <row r="17" spans="1:60" x14ac:dyDescent="0.25">
      <c r="A17">
        <v>5</v>
      </c>
      <c r="B17" t="s">
        <v>158</v>
      </c>
      <c r="C17">
        <v>5</v>
      </c>
      <c r="D17">
        <f t="shared" si="2"/>
        <v>500000</v>
      </c>
      <c r="E17">
        <v>10</v>
      </c>
      <c r="F17">
        <v>5</v>
      </c>
      <c r="G17">
        <v>5</v>
      </c>
      <c r="H17">
        <v>1.1000000000000001</v>
      </c>
      <c r="I17">
        <f t="shared" si="3"/>
        <v>1.05</v>
      </c>
      <c r="J17">
        <v>1000</v>
      </c>
      <c r="K17">
        <v>300</v>
      </c>
      <c r="L17">
        <f t="shared" si="4"/>
        <v>562</v>
      </c>
      <c r="M17">
        <f t="shared" si="5"/>
        <v>7.3677704983357286E-6</v>
      </c>
      <c r="N17">
        <f t="shared" si="6"/>
        <v>6.6979731803052069E-6</v>
      </c>
      <c r="O17">
        <f t="shared" si="7"/>
        <v>759</v>
      </c>
      <c r="P17">
        <f t="shared" si="0"/>
        <v>253</v>
      </c>
      <c r="Q17">
        <f t="shared" si="8"/>
        <v>28</v>
      </c>
      <c r="R17">
        <f t="shared" si="9"/>
        <v>1.6178679179481176E-5</v>
      </c>
      <c r="S17">
        <f t="shared" si="10"/>
        <v>55000000</v>
      </c>
      <c r="T17">
        <f t="shared" si="11"/>
        <v>4.0855058468556075E-4</v>
      </c>
      <c r="U17">
        <f t="shared" si="12"/>
        <v>39.538389823630183</v>
      </c>
      <c r="V17">
        <f t="shared" si="1"/>
        <v>0.95238095238095233</v>
      </c>
      <c r="W17">
        <f t="shared" si="13"/>
        <v>5376756</v>
      </c>
      <c r="X17">
        <f t="shared" si="14"/>
        <v>1.6658150976488251</v>
      </c>
      <c r="Y17">
        <f t="shared" si="15"/>
        <v>6003.0672156317114</v>
      </c>
      <c r="Z17">
        <f t="shared" si="16"/>
        <v>0.42201282164417042</v>
      </c>
      <c r="AA17">
        <v>5</v>
      </c>
      <c r="AB17">
        <v>10.514161012500001</v>
      </c>
      <c r="AC17">
        <v>105.1086</v>
      </c>
      <c r="AD17">
        <v>2463.5259999999998</v>
      </c>
      <c r="AE17">
        <v>1.3921107732947101E-2</v>
      </c>
      <c r="AJ17">
        <f t="shared" si="17"/>
        <v>1.3219597178259301</v>
      </c>
      <c r="AK17">
        <f t="shared" si="18"/>
        <v>1.8403143650471125E-2</v>
      </c>
      <c r="AL17">
        <f t="shared" si="19"/>
        <v>0</v>
      </c>
      <c r="AM17">
        <f t="shared" si="20"/>
        <v>1.1715562963012696</v>
      </c>
      <c r="AZ17">
        <v>0.2</v>
      </c>
      <c r="BA17">
        <v>0.03</v>
      </c>
      <c r="BC17">
        <f t="shared" si="21"/>
        <v>1.4696938456699056</v>
      </c>
      <c r="BD17">
        <f t="shared" si="22"/>
        <v>5</v>
      </c>
      <c r="BE17">
        <f t="shared" si="23"/>
        <v>2.2155673136318947</v>
      </c>
    </row>
    <row r="18" spans="1:60" x14ac:dyDescent="0.25">
      <c r="A18">
        <v>6</v>
      </c>
      <c r="B18" t="s">
        <v>158</v>
      </c>
      <c r="C18">
        <v>6</v>
      </c>
      <c r="D18">
        <f t="shared" si="2"/>
        <v>500000</v>
      </c>
      <c r="E18">
        <v>10</v>
      </c>
      <c r="F18">
        <v>5</v>
      </c>
      <c r="G18">
        <v>5</v>
      </c>
      <c r="H18">
        <v>1.1000000000000001</v>
      </c>
      <c r="I18">
        <f t="shared" si="3"/>
        <v>1.68</v>
      </c>
      <c r="J18">
        <v>1000</v>
      </c>
      <c r="K18">
        <v>300</v>
      </c>
      <c r="L18">
        <f t="shared" si="4"/>
        <v>899</v>
      </c>
      <c r="M18">
        <f t="shared" si="5"/>
        <v>4.6048565614598305E-6</v>
      </c>
      <c r="N18">
        <f t="shared" si="6"/>
        <v>4.1862332376907545E-6</v>
      </c>
      <c r="O18">
        <f t="shared" si="7"/>
        <v>649</v>
      </c>
      <c r="P18">
        <f t="shared" si="0"/>
        <v>216</v>
      </c>
      <c r="Q18">
        <f t="shared" si="8"/>
        <v>39</v>
      </c>
      <c r="R18">
        <f t="shared" si="9"/>
        <v>1.0111674487175737E-5</v>
      </c>
      <c r="S18">
        <f t="shared" si="10"/>
        <v>55000000</v>
      </c>
      <c r="T18">
        <f t="shared" si="11"/>
        <v>2.5534411542847555E-4</v>
      </c>
      <c r="U18">
        <f t="shared" si="12"/>
        <v>46.24438127386788</v>
      </c>
      <c r="V18">
        <f t="shared" si="1"/>
        <v>0.59523809523809523</v>
      </c>
      <c r="W18">
        <f t="shared" si="13"/>
        <v>5467176</v>
      </c>
      <c r="X18">
        <f t="shared" si="14"/>
        <v>1.0411344360305157</v>
      </c>
      <c r="Y18">
        <f t="shared" si="15"/>
        <v>9604.9075450107375</v>
      </c>
      <c r="Z18">
        <f t="shared" si="16"/>
        <v>0.26375801352760653</v>
      </c>
      <c r="AA18">
        <v>6</v>
      </c>
      <c r="AB18">
        <v>10.7688681806818</v>
      </c>
      <c r="AC18">
        <v>122.9358</v>
      </c>
      <c r="AD18">
        <v>2863.4229999999998</v>
      </c>
      <c r="AE18">
        <v>1.2466881691934601E-2</v>
      </c>
      <c r="AJ18">
        <f t="shared" si="17"/>
        <v>1.3542856154902998</v>
      </c>
      <c r="AK18">
        <f t="shared" si="18"/>
        <v>1.68837185454064E-2</v>
      </c>
      <c r="AL18">
        <f t="shared" si="19"/>
        <v>0</v>
      </c>
      <c r="AM18">
        <f t="shared" si="20"/>
        <v>1.2002043772008644</v>
      </c>
      <c r="AZ18">
        <v>0.3</v>
      </c>
      <c r="BA18">
        <v>0.03</v>
      </c>
      <c r="BC18">
        <f t="shared" si="21"/>
        <v>1.4696938456699056</v>
      </c>
      <c r="BD18">
        <f t="shared" si="22"/>
        <v>3.3333333333333335</v>
      </c>
      <c r="BE18">
        <f t="shared" si="23"/>
        <v>1.4770448757545966</v>
      </c>
      <c r="BG18" t="s">
        <v>292</v>
      </c>
      <c r="BH18">
        <v>500</v>
      </c>
    </row>
    <row r="19" spans="1:60" x14ac:dyDescent="0.25">
      <c r="A19">
        <v>7</v>
      </c>
      <c r="B19" t="s">
        <v>158</v>
      </c>
      <c r="C19">
        <v>7</v>
      </c>
      <c r="D19">
        <f t="shared" si="2"/>
        <v>500000</v>
      </c>
      <c r="E19">
        <v>10</v>
      </c>
      <c r="F19">
        <v>5</v>
      </c>
      <c r="G19">
        <v>5</v>
      </c>
      <c r="H19">
        <v>1.1000000000000001</v>
      </c>
      <c r="I19">
        <f t="shared" si="3"/>
        <v>2.68</v>
      </c>
      <c r="J19">
        <v>1000</v>
      </c>
      <c r="K19">
        <v>300</v>
      </c>
      <c r="L19">
        <f t="shared" si="4"/>
        <v>1434</v>
      </c>
      <c r="M19">
        <f t="shared" si="5"/>
        <v>2.8866265012136254E-6</v>
      </c>
      <c r="N19">
        <f t="shared" si="6"/>
        <v>2.6242059101942046E-6</v>
      </c>
      <c r="O19">
        <f t="shared" si="7"/>
        <v>555</v>
      </c>
      <c r="P19">
        <f t="shared" si="0"/>
        <v>185</v>
      </c>
      <c r="Q19">
        <f t="shared" si="8"/>
        <v>53</v>
      </c>
      <c r="R19">
        <f t="shared" si="9"/>
        <v>6.3386616188265816E-6</v>
      </c>
      <c r="S19">
        <f t="shared" si="10"/>
        <v>55000000</v>
      </c>
      <c r="T19">
        <f t="shared" si="11"/>
        <v>1.6006646041785032E-4</v>
      </c>
      <c r="U19">
        <f t="shared" si="12"/>
        <v>54.034044645621385</v>
      </c>
      <c r="V19">
        <f t="shared" si="1"/>
        <v>0.37313432835820892</v>
      </c>
      <c r="W19">
        <f t="shared" si="13"/>
        <v>5441775</v>
      </c>
      <c r="X19">
        <f t="shared" si="14"/>
        <v>0.65265143751166654</v>
      </c>
      <c r="Y19">
        <f t="shared" si="15"/>
        <v>15322.114417040941</v>
      </c>
      <c r="Z19">
        <f t="shared" si="16"/>
        <v>0.16534084430088766</v>
      </c>
      <c r="AA19">
        <v>7</v>
      </c>
      <c r="AB19">
        <v>11.0318520431818</v>
      </c>
      <c r="AC19">
        <v>143.6438</v>
      </c>
      <c r="AD19">
        <v>3357.7289999999998</v>
      </c>
      <c r="AE19">
        <v>1.13050850849303E-2</v>
      </c>
      <c r="AJ19">
        <f t="shared" si="17"/>
        <v>1.387473464587015</v>
      </c>
      <c r="AK19">
        <f t="shared" si="18"/>
        <v>1.5685505570239233E-2</v>
      </c>
      <c r="AL19">
        <f t="shared" si="19"/>
        <v>0</v>
      </c>
      <c r="AM19">
        <f t="shared" si="20"/>
        <v>1.2296163426682363</v>
      </c>
      <c r="AZ19">
        <v>0.5</v>
      </c>
      <c r="BA19">
        <v>2.9929999999999998E-2</v>
      </c>
      <c r="BC19">
        <f t="shared" si="21"/>
        <v>1.466264560030009</v>
      </c>
      <c r="BD19">
        <f>1/AZ19</f>
        <v>2</v>
      </c>
      <c r="BE19">
        <f>SQRT(PI())/4*BD19</f>
        <v>0.88622692545275794</v>
      </c>
      <c r="BG19" t="s">
        <v>293</v>
      </c>
      <c r="BH19">
        <v>50</v>
      </c>
    </row>
    <row r="20" spans="1:60" x14ac:dyDescent="0.25">
      <c r="A20">
        <v>8</v>
      </c>
      <c r="B20" t="s">
        <v>158</v>
      </c>
      <c r="C20">
        <v>8</v>
      </c>
      <c r="D20">
        <f t="shared" si="2"/>
        <v>500000</v>
      </c>
      <c r="E20">
        <v>10</v>
      </c>
      <c r="F20">
        <v>5</v>
      </c>
      <c r="G20">
        <v>5</v>
      </c>
      <c r="H20">
        <v>1.1000000000000001</v>
      </c>
      <c r="I20">
        <f t="shared" si="3"/>
        <v>4.29</v>
      </c>
      <c r="J20">
        <v>1000</v>
      </c>
      <c r="K20">
        <v>300</v>
      </c>
      <c r="L20">
        <f t="shared" si="4"/>
        <v>2296</v>
      </c>
      <c r="M20">
        <f t="shared" si="5"/>
        <v>1.8033004716206328E-6</v>
      </c>
      <c r="N20">
        <f t="shared" si="6"/>
        <v>1.6393640651096661E-6</v>
      </c>
      <c r="O20">
        <f t="shared" si="7"/>
        <v>475</v>
      </c>
      <c r="P20">
        <f t="shared" si="0"/>
        <v>158</v>
      </c>
      <c r="Q20">
        <f t="shared" si="8"/>
        <v>73</v>
      </c>
      <c r="R20">
        <f t="shared" si="9"/>
        <v>3.9598165823904983E-6</v>
      </c>
      <c r="S20">
        <f t="shared" si="10"/>
        <v>55000000</v>
      </c>
      <c r="T20">
        <f t="shared" si="11"/>
        <v>9.999489834961279E-5</v>
      </c>
      <c r="U20">
        <f t="shared" si="12"/>
        <v>63.208426130545355</v>
      </c>
      <c r="V20">
        <f t="shared" si="1"/>
        <v>0.23310023310023309</v>
      </c>
      <c r="W20">
        <f t="shared" si="13"/>
        <v>5478650</v>
      </c>
      <c r="X20">
        <f t="shared" si="14"/>
        <v>0.40771698194202011</v>
      </c>
      <c r="Y20">
        <f t="shared" si="15"/>
        <v>24526.817481009566</v>
      </c>
      <c r="Z20">
        <f t="shared" si="16"/>
        <v>0.10328985145137039</v>
      </c>
      <c r="AA20">
        <v>8</v>
      </c>
      <c r="AB20">
        <v>11.471580217045499</v>
      </c>
      <c r="AC20">
        <v>168.03280000000001</v>
      </c>
      <c r="AD20">
        <v>3906.828</v>
      </c>
      <c r="AE20">
        <v>9.8971869641244197E-3</v>
      </c>
      <c r="AJ20">
        <f t="shared" si="17"/>
        <v>1.4424450230489834</v>
      </c>
      <c r="AK20">
        <f t="shared" si="18"/>
        <v>1.4276148078586546E-2</v>
      </c>
      <c r="AL20">
        <f t="shared" si="19"/>
        <v>0</v>
      </c>
      <c r="AM20">
        <f t="shared" si="20"/>
        <v>1.2783336179113332</v>
      </c>
      <c r="AZ20">
        <v>1</v>
      </c>
      <c r="BA20">
        <v>3.6580000000000001E-2</v>
      </c>
      <c r="BC20">
        <f t="shared" si="21"/>
        <v>1.7920466958201715</v>
      </c>
      <c r="BD20">
        <f>1/AZ20</f>
        <v>1</v>
      </c>
      <c r="BE20">
        <f>SQRT(PI())/4*BD20</f>
        <v>0.44311346272637897</v>
      </c>
      <c r="BG20" t="s">
        <v>95</v>
      </c>
      <c r="BH20">
        <v>1.1000000000000001</v>
      </c>
    </row>
    <row r="21" spans="1:60" x14ac:dyDescent="0.25">
      <c r="A21">
        <v>9</v>
      </c>
      <c r="B21" t="s">
        <v>158</v>
      </c>
      <c r="C21">
        <v>9</v>
      </c>
      <c r="D21">
        <f t="shared" si="2"/>
        <v>500000</v>
      </c>
      <c r="E21">
        <v>10</v>
      </c>
      <c r="F21">
        <v>5</v>
      </c>
      <c r="G21">
        <v>5</v>
      </c>
      <c r="H21">
        <v>1.1000000000000001</v>
      </c>
      <c r="I21">
        <f t="shared" si="3"/>
        <v>6.87</v>
      </c>
      <c r="J21">
        <v>1000</v>
      </c>
      <c r="K21">
        <v>300</v>
      </c>
      <c r="L21">
        <f t="shared" si="4"/>
        <v>3676</v>
      </c>
      <c r="M21">
        <f t="shared" si="5"/>
        <v>1.1260784604443254E-6</v>
      </c>
      <c r="N21">
        <f t="shared" si="6"/>
        <v>1.023707691313023E-6</v>
      </c>
      <c r="O21">
        <f t="shared" si="7"/>
        <v>406</v>
      </c>
      <c r="P21">
        <f t="shared" si="0"/>
        <v>135</v>
      </c>
      <c r="Q21">
        <f t="shared" si="8"/>
        <v>99</v>
      </c>
      <c r="R21">
        <f t="shared" si="9"/>
        <v>2.4727238920604421E-6</v>
      </c>
      <c r="S21">
        <f t="shared" si="10"/>
        <v>55000000</v>
      </c>
      <c r="T21">
        <f t="shared" si="11"/>
        <v>6.2442229100413224E-5</v>
      </c>
      <c r="U21">
        <f t="shared" si="12"/>
        <v>73.950558501414548</v>
      </c>
      <c r="V21">
        <f t="shared" si="1"/>
        <v>0.14556040756914118</v>
      </c>
      <c r="W21">
        <f t="shared" si="13"/>
        <v>5426190</v>
      </c>
      <c r="X21">
        <f t="shared" si="14"/>
        <v>0.25460056077602128</v>
      </c>
      <c r="Y21">
        <f t="shared" si="15"/>
        <v>39277.21121084749</v>
      </c>
      <c r="Z21">
        <f t="shared" si="16"/>
        <v>6.4499776233825176E-2</v>
      </c>
      <c r="AA21">
        <v>9</v>
      </c>
      <c r="AB21">
        <v>11.483046281818201</v>
      </c>
      <c r="AC21">
        <v>196.5899</v>
      </c>
      <c r="AD21">
        <v>4587.17</v>
      </c>
      <c r="AE21">
        <v>8.7596124978125394E-3</v>
      </c>
      <c r="AJ21">
        <f t="shared" si="17"/>
        <v>1.4442053993644868</v>
      </c>
      <c r="AK21">
        <f t="shared" si="18"/>
        <v>1.2650679665681508E-2</v>
      </c>
      <c r="AL21">
        <f t="shared" si="19"/>
        <v>0</v>
      </c>
      <c r="AM21">
        <f t="shared" si="20"/>
        <v>1.2798937108010615</v>
      </c>
      <c r="AZ21">
        <v>5</v>
      </c>
      <c r="BA21">
        <v>5.1999999999999998E-2</v>
      </c>
      <c r="BC21">
        <f t="shared" si="21"/>
        <v>2.547469332494503</v>
      </c>
      <c r="BD21">
        <f>1/AZ21</f>
        <v>0.2</v>
      </c>
      <c r="BE21">
        <f>SQRT(PI())/4*BD21</f>
        <v>8.86226925452758E-2</v>
      </c>
      <c r="BG21" t="s">
        <v>96</v>
      </c>
      <c r="BH21">
        <v>1</v>
      </c>
    </row>
    <row r="22" spans="1:60" x14ac:dyDescent="0.25">
      <c r="A22">
        <v>10</v>
      </c>
      <c r="B22" t="s">
        <v>158</v>
      </c>
      <c r="C22">
        <v>10</v>
      </c>
      <c r="D22">
        <f t="shared" si="2"/>
        <v>500000</v>
      </c>
      <c r="E22">
        <v>10</v>
      </c>
      <c r="F22">
        <v>5</v>
      </c>
      <c r="G22">
        <v>5</v>
      </c>
      <c r="H22">
        <v>1.1000000000000001</v>
      </c>
      <c r="I22">
        <f t="shared" si="3"/>
        <v>11</v>
      </c>
      <c r="J22">
        <v>1000</v>
      </c>
      <c r="K22">
        <v>300</v>
      </c>
      <c r="L22">
        <f t="shared" si="4"/>
        <v>5887</v>
      </c>
      <c r="M22">
        <f t="shared" si="5"/>
        <v>7.0328718393204678E-7</v>
      </c>
      <c r="N22">
        <f t="shared" si="6"/>
        <v>6.3935198539276978E-7</v>
      </c>
      <c r="O22">
        <f t="shared" si="7"/>
        <v>347</v>
      </c>
      <c r="P22">
        <f t="shared" si="0"/>
        <v>116</v>
      </c>
      <c r="Q22">
        <f t="shared" si="8"/>
        <v>136</v>
      </c>
      <c r="R22">
        <f t="shared" si="9"/>
        <v>1.5443284671322943E-6</v>
      </c>
      <c r="S22">
        <f t="shared" si="10"/>
        <v>55000000</v>
      </c>
      <c r="T22">
        <f t="shared" si="11"/>
        <v>3.8998010356348986E-5</v>
      </c>
      <c r="U22">
        <f t="shared" si="12"/>
        <v>86.514076119361533</v>
      </c>
      <c r="V22">
        <f t="shared" si="1"/>
        <v>9.0909090909090912E-2</v>
      </c>
      <c r="W22">
        <f t="shared" si="13"/>
        <v>5474272</v>
      </c>
      <c r="X22">
        <f t="shared" si="14"/>
        <v>0.15900962295738785</v>
      </c>
      <c r="Y22">
        <f t="shared" si="15"/>
        <v>62889.275592332211</v>
      </c>
      <c r="Z22">
        <f t="shared" si="16"/>
        <v>4.0283042066034454E-2</v>
      </c>
      <c r="AA22">
        <v>10</v>
      </c>
      <c r="AB22">
        <v>11.399786076404499</v>
      </c>
      <c r="AC22">
        <v>172.49160000000001</v>
      </c>
      <c r="AD22">
        <v>5347.3209999999999</v>
      </c>
      <c r="AE22">
        <v>8.3905403568881997E-3</v>
      </c>
      <c r="AJ22">
        <f t="shared" si="17"/>
        <v>1.4334612775296054</v>
      </c>
      <c r="AK22">
        <f t="shared" si="18"/>
        <v>1.2027514699148669E-2</v>
      </c>
      <c r="AL22">
        <f t="shared" si="19"/>
        <v>0</v>
      </c>
      <c r="AM22">
        <f t="shared" si="20"/>
        <v>1.2703719807406448</v>
      </c>
      <c r="AZ22">
        <v>20</v>
      </c>
      <c r="BA22">
        <v>5.8000000000000003E-2</v>
      </c>
      <c r="BC22">
        <f t="shared" si="21"/>
        <v>2.8414081016284842</v>
      </c>
      <c r="BD22">
        <f>1/AZ22</f>
        <v>0.05</v>
      </c>
      <c r="BE22">
        <f>SQRT(PI())/4*BD22</f>
        <v>2.215567313631895E-2</v>
      </c>
      <c r="BG22" t="s">
        <v>290</v>
      </c>
      <c r="BH22">
        <f>BH21/(BH20-BH21)*SQRT(6)*BH18/BH19/BH19</f>
        <v>4.8989794855663504</v>
      </c>
    </row>
    <row r="23" spans="1:60" x14ac:dyDescent="0.25">
      <c r="A23">
        <v>11</v>
      </c>
      <c r="B23" t="s">
        <v>158</v>
      </c>
      <c r="C23">
        <v>11</v>
      </c>
      <c r="D23">
        <f t="shared" si="2"/>
        <v>500000</v>
      </c>
      <c r="E23">
        <v>10</v>
      </c>
      <c r="F23">
        <v>5</v>
      </c>
      <c r="G23">
        <v>5</v>
      </c>
      <c r="H23">
        <v>1.1000000000000001</v>
      </c>
      <c r="I23">
        <f t="shared" si="3"/>
        <v>17.59</v>
      </c>
      <c r="J23">
        <v>1000</v>
      </c>
      <c r="K23">
        <v>300</v>
      </c>
      <c r="L23">
        <f t="shared" si="4"/>
        <v>9413</v>
      </c>
      <c r="M23">
        <f t="shared" si="5"/>
        <v>4.3980437880912532E-7</v>
      </c>
      <c r="N23">
        <f t="shared" si="6"/>
        <v>3.9982216255375027E-7</v>
      </c>
      <c r="O23">
        <f t="shared" si="7"/>
        <v>297</v>
      </c>
      <c r="P23">
        <f t="shared" si="0"/>
        <v>99</v>
      </c>
      <c r="Q23">
        <f t="shared" si="8"/>
        <v>186</v>
      </c>
      <c r="R23">
        <f t="shared" si="9"/>
        <v>9.6575401583031472E-7</v>
      </c>
      <c r="S23">
        <f t="shared" si="10"/>
        <v>55000000</v>
      </c>
      <c r="T23">
        <f t="shared" si="11"/>
        <v>2.438761307105394E-5</v>
      </c>
      <c r="U23">
        <f t="shared" si="12"/>
        <v>101.16830934555924</v>
      </c>
      <c r="V23">
        <f t="shared" si="1"/>
        <v>5.6850483229107449E-2</v>
      </c>
      <c r="W23">
        <f t="shared" si="13"/>
        <v>5468958</v>
      </c>
      <c r="X23">
        <f t="shared" si="14"/>
        <v>9.9437512935262443E-2</v>
      </c>
      <c r="Y23">
        <f t="shared" si="15"/>
        <v>100565.66887901124</v>
      </c>
      <c r="Z23">
        <f t="shared" si="16"/>
        <v>2.5191214481317736E-2</v>
      </c>
      <c r="AA23">
        <v>11</v>
      </c>
      <c r="AB23">
        <v>11.8798188134831</v>
      </c>
      <c r="AC23">
        <v>201.709</v>
      </c>
      <c r="AD23">
        <v>6281.0959999999995</v>
      </c>
      <c r="AE23">
        <v>7.4335166000457798E-3</v>
      </c>
      <c r="AJ23">
        <f t="shared" si="17"/>
        <v>1.4939573956015866</v>
      </c>
      <c r="AK23">
        <f t="shared" si="18"/>
        <v>1.1105357099965555E-2</v>
      </c>
      <c r="AL23">
        <f t="shared" si="19"/>
        <v>0</v>
      </c>
      <c r="AM23">
        <f t="shared" si="20"/>
        <v>1.3239852694614036</v>
      </c>
      <c r="AZ23">
        <v>100</v>
      </c>
      <c r="BA23">
        <v>5.8000000000000003E-2</v>
      </c>
      <c r="BC23">
        <f t="shared" si="21"/>
        <v>2.8414081016284842</v>
      </c>
      <c r="BD23">
        <f>1/AZ23</f>
        <v>0.01</v>
      </c>
      <c r="BE23">
        <f>SQRT(PI())/4*BD23</f>
        <v>4.4311346272637902E-3</v>
      </c>
    </row>
    <row r="24" spans="1:60" x14ac:dyDescent="0.25">
      <c r="A24">
        <v>12</v>
      </c>
      <c r="B24" t="s">
        <v>158</v>
      </c>
      <c r="C24">
        <v>12</v>
      </c>
      <c r="D24">
        <f t="shared" si="2"/>
        <v>500000</v>
      </c>
      <c r="E24">
        <v>10</v>
      </c>
      <c r="F24">
        <v>5</v>
      </c>
      <c r="G24">
        <v>5</v>
      </c>
      <c r="H24">
        <v>1.1000000000000001</v>
      </c>
      <c r="I24">
        <f t="shared" si="3"/>
        <v>28.15</v>
      </c>
      <c r="J24">
        <v>1000</v>
      </c>
      <c r="K24">
        <v>300</v>
      </c>
      <c r="L24">
        <f t="shared" si="4"/>
        <v>15064</v>
      </c>
      <c r="M24">
        <f t="shared" si="5"/>
        <v>2.7481914825053339E-7</v>
      </c>
      <c r="N24">
        <f t="shared" si="6"/>
        <v>2.4983558931866672E-7</v>
      </c>
      <c r="O24">
        <f t="shared" si="7"/>
        <v>254</v>
      </c>
      <c r="P24">
        <f t="shared" si="0"/>
        <v>85</v>
      </c>
      <c r="Q24">
        <f t="shared" si="8"/>
        <v>255</v>
      </c>
      <c r="R24">
        <f t="shared" si="9"/>
        <v>6.0346760704991961E-7</v>
      </c>
      <c r="S24">
        <f t="shared" si="10"/>
        <v>55000000</v>
      </c>
      <c r="T24">
        <f t="shared" si="11"/>
        <v>1.523900937548273E-5</v>
      </c>
      <c r="U24">
        <f t="shared" si="12"/>
        <v>118.33558052725597</v>
      </c>
      <c r="V24">
        <f t="shared" si="1"/>
        <v>3.5523978685612793E-2</v>
      </c>
      <c r="W24">
        <f t="shared" si="13"/>
        <v>5505450</v>
      </c>
      <c r="X24">
        <f t="shared" si="14"/>
        <v>6.2135199024201296E-2</v>
      </c>
      <c r="Y24">
        <f t="shared" si="15"/>
        <v>160939.37344765017</v>
      </c>
      <c r="Z24">
        <f t="shared" si="16"/>
        <v>1.5741153205199965E-2</v>
      </c>
      <c r="AA24">
        <v>12</v>
      </c>
      <c r="AB24">
        <v>11.969385109090901</v>
      </c>
      <c r="AC24">
        <v>235.93700000000001</v>
      </c>
      <c r="AD24">
        <v>7301.058</v>
      </c>
      <c r="AE24">
        <v>6.50778662299757E-3</v>
      </c>
      <c r="AJ24">
        <f t="shared" si="17"/>
        <v>1.5052219656991754</v>
      </c>
      <c r="AK24">
        <f t="shared" si="18"/>
        <v>9.7956633730192002E-3</v>
      </c>
      <c r="AL24">
        <f t="shared" si="19"/>
        <v>0</v>
      </c>
      <c r="AM24">
        <f t="shared" si="20"/>
        <v>1.3339682347855368</v>
      </c>
    </row>
    <row r="25" spans="1:60" x14ac:dyDescent="0.25">
      <c r="A25">
        <v>13</v>
      </c>
      <c r="B25" t="s">
        <v>158</v>
      </c>
      <c r="C25">
        <v>13</v>
      </c>
      <c r="D25">
        <f t="shared" si="2"/>
        <v>500000</v>
      </c>
      <c r="E25">
        <v>10</v>
      </c>
      <c r="F25">
        <v>5</v>
      </c>
      <c r="G25">
        <v>5</v>
      </c>
      <c r="H25">
        <v>1.1000000000000001</v>
      </c>
      <c r="I25">
        <f t="shared" si="3"/>
        <v>45.04</v>
      </c>
      <c r="J25">
        <v>1000</v>
      </c>
      <c r="K25">
        <v>300</v>
      </c>
      <c r="L25">
        <f t="shared" si="4"/>
        <v>24103</v>
      </c>
      <c r="M25">
        <f t="shared" si="5"/>
        <v>1.7176196765658337E-7</v>
      </c>
      <c r="N25">
        <f t="shared" si="6"/>
        <v>1.5614724332416669E-7</v>
      </c>
      <c r="O25">
        <f t="shared" si="7"/>
        <v>217</v>
      </c>
      <c r="P25">
        <f t="shared" si="0"/>
        <v>72</v>
      </c>
      <c r="Q25">
        <f t="shared" si="8"/>
        <v>348</v>
      </c>
      <c r="R25">
        <f t="shared" si="9"/>
        <v>3.7716725440619976E-7</v>
      </c>
      <c r="S25">
        <f t="shared" si="10"/>
        <v>55000000</v>
      </c>
      <c r="T25">
        <f t="shared" si="11"/>
        <v>9.5243808596767064E-6</v>
      </c>
      <c r="U25">
        <f t="shared" si="12"/>
        <v>138.40613460936547</v>
      </c>
      <c r="V25">
        <f t="shared" si="1"/>
        <v>2.2202486678507993E-2</v>
      </c>
      <c r="W25">
        <f t="shared" si="13"/>
        <v>5437152</v>
      </c>
      <c r="X25">
        <f t="shared" si="14"/>
        <v>3.8834499390125808E-2</v>
      </c>
      <c r="Y25">
        <f t="shared" si="15"/>
        <v>257502.99751624026</v>
      </c>
      <c r="Z25">
        <f t="shared" si="16"/>
        <v>9.838220753249978E-3</v>
      </c>
      <c r="AA25">
        <v>13</v>
      </c>
      <c r="AB25">
        <v>11.9461377443182</v>
      </c>
      <c r="AC25">
        <v>275.95389999999998</v>
      </c>
      <c r="AD25">
        <v>8585.36</v>
      </c>
      <c r="AE25">
        <v>5.4591710885768599E-3</v>
      </c>
      <c r="AJ25">
        <f t="shared" si="17"/>
        <v>1.5022610731829169</v>
      </c>
      <c r="AK25">
        <f t="shared" si="18"/>
        <v>8.2011002182146263E-3</v>
      </c>
      <c r="AL25">
        <f t="shared" si="19"/>
        <v>0</v>
      </c>
      <c r="AM25">
        <f t="shared" si="20"/>
        <v>1.3313442121142571</v>
      </c>
    </row>
    <row r="26" spans="1:60" x14ac:dyDescent="0.25">
      <c r="A26">
        <v>14</v>
      </c>
      <c r="B26" t="s">
        <v>158</v>
      </c>
      <c r="C26">
        <v>14</v>
      </c>
      <c r="D26">
        <f t="shared" si="2"/>
        <v>500000</v>
      </c>
      <c r="E26">
        <v>10</v>
      </c>
      <c r="F26">
        <v>5</v>
      </c>
      <c r="G26">
        <v>5</v>
      </c>
      <c r="H26">
        <v>1.1000000000000001</v>
      </c>
      <c r="I26">
        <f t="shared" si="3"/>
        <v>72.06</v>
      </c>
      <c r="J26">
        <v>1000</v>
      </c>
      <c r="K26">
        <v>300</v>
      </c>
      <c r="L26">
        <f t="shared" si="4"/>
        <v>38563</v>
      </c>
      <c r="M26">
        <f t="shared" si="5"/>
        <v>1.0735718877674873E-7</v>
      </c>
      <c r="N26">
        <f t="shared" si="6"/>
        <v>9.7597444342498837E-8</v>
      </c>
      <c r="O26">
        <f t="shared" si="7"/>
        <v>185</v>
      </c>
      <c r="P26">
        <f t="shared" si="0"/>
        <v>62</v>
      </c>
      <c r="Q26">
        <f t="shared" si="8"/>
        <v>476</v>
      </c>
      <c r="R26">
        <f t="shared" si="9"/>
        <v>2.3574261918477983E-7</v>
      </c>
      <c r="S26">
        <f t="shared" si="10"/>
        <v>55000000</v>
      </c>
      <c r="T26">
        <f t="shared" si="11"/>
        <v>5.9530684696064219E-6</v>
      </c>
      <c r="U26">
        <f t="shared" si="12"/>
        <v>161.87780188448673</v>
      </c>
      <c r="V26">
        <f t="shared" si="1"/>
        <v>1.3877324451845684E-2</v>
      </c>
      <c r="W26">
        <f t="shared" si="13"/>
        <v>5459720</v>
      </c>
      <c r="X26">
        <f t="shared" si="14"/>
        <v>2.4272909416198533E-2</v>
      </c>
      <c r="Y26">
        <f t="shared" si="15"/>
        <v>411981.92719849636</v>
      </c>
      <c r="Z26">
        <f t="shared" si="16"/>
        <v>6.1492292912347897E-3</v>
      </c>
      <c r="AA26">
        <v>14</v>
      </c>
      <c r="AB26">
        <v>12.0389385752809</v>
      </c>
      <c r="AC26">
        <v>322.75139999999999</v>
      </c>
      <c r="AD26">
        <v>10059.24</v>
      </c>
      <c r="AE26">
        <v>5.0885383555411999E-3</v>
      </c>
      <c r="AJ26">
        <f t="shared" si="17"/>
        <v>1.5139176728041521</v>
      </c>
      <c r="AK26">
        <f t="shared" si="18"/>
        <v>7.7036281451956009E-3</v>
      </c>
      <c r="AL26">
        <f t="shared" si="19"/>
        <v>0</v>
      </c>
      <c r="AM26">
        <f t="shared" si="20"/>
        <v>1.3416746045578181</v>
      </c>
      <c r="AZ26">
        <v>4.3999999999999997E-2</v>
      </c>
      <c r="BA26">
        <v>0.46200000000000002</v>
      </c>
      <c r="BC26">
        <f>BA26*$BH$22</f>
        <v>2.2633285223316539</v>
      </c>
      <c r="BD26">
        <f>1/AZ26</f>
        <v>22.72727272727273</v>
      </c>
    </row>
    <row r="27" spans="1:60" x14ac:dyDescent="0.25">
      <c r="A27" s="85">
        <v>15</v>
      </c>
      <c r="B27" s="85" t="s">
        <v>158</v>
      </c>
      <c r="C27" s="85">
        <v>15</v>
      </c>
      <c r="D27" s="85">
        <f t="shared" si="2"/>
        <v>500000</v>
      </c>
      <c r="E27" s="85">
        <v>10</v>
      </c>
      <c r="F27" s="85">
        <v>5</v>
      </c>
      <c r="G27" s="85">
        <v>5</v>
      </c>
      <c r="H27" s="85">
        <v>1.1000000000000001</v>
      </c>
      <c r="I27" s="85">
        <f t="shared" si="3"/>
        <v>115.29</v>
      </c>
      <c r="J27" s="85">
        <v>1000</v>
      </c>
      <c r="K27" s="85">
        <v>300</v>
      </c>
      <c r="L27" s="85">
        <f t="shared" si="4"/>
        <v>61697</v>
      </c>
      <c r="M27" s="85">
        <f t="shared" si="5"/>
        <v>6.7101734957520298E-8</v>
      </c>
      <c r="N27" s="85">
        <f t="shared" si="6"/>
        <v>6.1001577234109352E-8</v>
      </c>
      <c r="O27" s="85">
        <f t="shared" si="7"/>
        <v>158</v>
      </c>
      <c r="P27" s="85">
        <f t="shared" si="0"/>
        <v>53</v>
      </c>
      <c r="Q27" s="85">
        <f t="shared" si="8"/>
        <v>652</v>
      </c>
      <c r="R27" s="85">
        <f t="shared" si="9"/>
        <v>1.4734680491330762E-7</v>
      </c>
      <c r="S27" s="85">
        <f t="shared" si="10"/>
        <v>55000000</v>
      </c>
      <c r="T27" s="85">
        <f t="shared" si="11"/>
        <v>3.72086142700875E-6</v>
      </c>
      <c r="U27" s="85">
        <f t="shared" si="12"/>
        <v>189.33014129456402</v>
      </c>
      <c r="V27" s="85">
        <f t="shared" si="1"/>
        <v>8.6737791655824431E-3</v>
      </c>
      <c r="W27" s="85">
        <f t="shared" si="13"/>
        <v>5459848</v>
      </c>
      <c r="X27" s="85">
        <f t="shared" si="14"/>
        <v>1.5171357902084017E-2</v>
      </c>
      <c r="Y27" s="85">
        <f t="shared" si="15"/>
        <v>659136.78027636197</v>
      </c>
      <c r="Z27">
        <f t="shared" si="16"/>
        <v>3.8434683209851582E-3</v>
      </c>
      <c r="AA27" s="85">
        <v>15</v>
      </c>
      <c r="AB27">
        <v>12.1805773179775</v>
      </c>
      <c r="AC27">
        <v>251.65700000000001</v>
      </c>
      <c r="AD27">
        <v>11796.62</v>
      </c>
      <c r="AE27">
        <v>4.13565902002628E-3</v>
      </c>
      <c r="AJ27" s="85">
        <f t="shared" si="17"/>
        <v>1.5317436186768332</v>
      </c>
      <c r="AK27">
        <f t="shared" si="18"/>
        <v>6.33476931294854E-3</v>
      </c>
      <c r="AL27">
        <f t="shared" si="19"/>
        <v>0</v>
      </c>
      <c r="AM27">
        <f t="shared" si="20"/>
        <v>1.3574724377618514</v>
      </c>
      <c r="AZ27">
        <v>0.09</v>
      </c>
      <c r="BA27">
        <v>0.35913699999999998</v>
      </c>
      <c r="BC27">
        <f>BA27*$BH$22</f>
        <v>1.7594047955078422</v>
      </c>
      <c r="BD27">
        <f>1/AZ27</f>
        <v>11.111111111111111</v>
      </c>
    </row>
    <row r="28" spans="1:60" x14ac:dyDescent="0.25">
      <c r="A28">
        <v>16</v>
      </c>
      <c r="B28" t="s">
        <v>158</v>
      </c>
      <c r="C28">
        <v>0</v>
      </c>
      <c r="D28">
        <f t="shared" si="2"/>
        <v>500000</v>
      </c>
      <c r="E28">
        <v>10</v>
      </c>
      <c r="F28">
        <v>0</v>
      </c>
      <c r="G28">
        <v>0</v>
      </c>
      <c r="H28">
        <v>1.1000000000000001</v>
      </c>
      <c r="I28">
        <f t="shared" si="3"/>
        <v>0.1</v>
      </c>
      <c r="J28">
        <v>1000</v>
      </c>
      <c r="K28">
        <v>300</v>
      </c>
      <c r="L28">
        <f t="shared" ref="L28:L43" si="24">ROUND(D28/S28/R28,0)</f>
        <v>589</v>
      </c>
      <c r="M28">
        <f t="shared" ref="M28:M43" si="25">N28*H28</f>
        <v>7.7361590232525134E-5</v>
      </c>
      <c r="N28">
        <f t="shared" ref="N28:N43" si="26">R28*$G$2*K28</f>
        <v>7.032871839320466E-5</v>
      </c>
      <c r="O28">
        <f t="shared" ref="O28:O43" si="27">ROUND(J28*(E28+F28)/U28/$J$7,0)</f>
        <v>1108</v>
      </c>
      <c r="P28">
        <f>ROUND(IF(J28*G28&gt;0,J28*G28,J28/2)/U28/$J$7,0)</f>
        <v>55</v>
      </c>
      <c r="Q28">
        <f t="shared" ref="Q28:Q43" si="28">ROUND(L28/U28/$J$7,0)</f>
        <v>65</v>
      </c>
      <c r="R28">
        <f t="shared" ref="R28:R43" si="29">1/(SQRT(2)*PI()*($I$5^2)*I28*J28)</f>
        <v>1.6987613138455234E-4</v>
      </c>
      <c r="S28">
        <f t="shared" ref="S28:S43" si="30">J28/2*J28*E28+2*J28*J28*G28*F28</f>
        <v>5000000</v>
      </c>
      <c r="T28">
        <f t="shared" ref="T28:T43" si="31">$J$5*R28</f>
        <v>4.2897811391983875E-3</v>
      </c>
      <c r="U28">
        <f t="shared" ref="U28:U43" si="32">(1/R28)^(1/3)</f>
        <v>18.056041570190434</v>
      </c>
      <c r="V28">
        <f t="shared" ref="V28:V43" si="33">1/I28</f>
        <v>10</v>
      </c>
      <c r="W28">
        <f t="shared" si="13"/>
        <v>3961100</v>
      </c>
      <c r="X28">
        <f t="shared" si="14"/>
        <v>17.491058525312663</v>
      </c>
      <c r="Y28">
        <f t="shared" si="15"/>
        <v>571.72068720302013</v>
      </c>
      <c r="Z28">
        <f t="shared" si="16"/>
        <v>4.4311346272637895</v>
      </c>
      <c r="AA28">
        <v>16</v>
      </c>
      <c r="AB28">
        <v>163.42625448387099</v>
      </c>
      <c r="AC28">
        <v>48.000070000000001</v>
      </c>
      <c r="AD28">
        <v>1184.019</v>
      </c>
      <c r="AE28">
        <v>5.2269926002872901E-3</v>
      </c>
      <c r="AF28">
        <v>6.2449999999999997E-3</v>
      </c>
      <c r="AH28">
        <f>(AD28-AC28)/AF28/3600</f>
        <v>50.530154345698783</v>
      </c>
      <c r="AJ28">
        <f t="shared" si="17"/>
        <v>1.8672271234290709</v>
      </c>
      <c r="AK28">
        <f t="shared" si="18"/>
        <v>9.7599823572194766E-3</v>
      </c>
      <c r="AL28">
        <f t="shared" si="19"/>
        <v>1.1660833385814548E-2</v>
      </c>
      <c r="AM28">
        <f t="shared" si="20"/>
        <v>1.6547869527185428</v>
      </c>
    </row>
    <row r="29" spans="1:60" x14ac:dyDescent="0.25">
      <c r="A29">
        <v>17</v>
      </c>
      <c r="B29" t="s">
        <v>158</v>
      </c>
      <c r="C29">
        <v>1</v>
      </c>
      <c r="D29">
        <f t="shared" si="2"/>
        <v>500000</v>
      </c>
      <c r="E29">
        <v>10</v>
      </c>
      <c r="F29">
        <v>0</v>
      </c>
      <c r="G29">
        <v>0</v>
      </c>
      <c r="H29">
        <v>1.1000000000000001</v>
      </c>
      <c r="I29">
        <f t="shared" si="3"/>
        <v>0.16</v>
      </c>
      <c r="J29">
        <v>1000</v>
      </c>
      <c r="K29">
        <v>300</v>
      </c>
      <c r="L29">
        <f t="shared" si="24"/>
        <v>942</v>
      </c>
      <c r="M29">
        <f t="shared" si="25"/>
        <v>4.8350993895328224E-5</v>
      </c>
      <c r="N29">
        <f t="shared" si="26"/>
        <v>4.3955448995752926E-5</v>
      </c>
      <c r="O29">
        <f t="shared" si="27"/>
        <v>947</v>
      </c>
      <c r="P29">
        <f t="shared" ref="P29:P43" si="34">ROUND(IF(J29*G29&gt;0,J29*G29,J29/2)/U29/$J$7,0)</f>
        <v>47</v>
      </c>
      <c r="Q29">
        <f t="shared" si="28"/>
        <v>89</v>
      </c>
      <c r="R29">
        <f t="shared" si="29"/>
        <v>1.0617258211534524E-4</v>
      </c>
      <c r="S29">
        <f t="shared" si="30"/>
        <v>5000000</v>
      </c>
      <c r="T29">
        <f t="shared" si="31"/>
        <v>2.6811132119989932E-3</v>
      </c>
      <c r="U29">
        <f t="shared" si="32"/>
        <v>21.11847433325828</v>
      </c>
      <c r="V29">
        <f t="shared" si="33"/>
        <v>6.25</v>
      </c>
      <c r="W29">
        <f t="shared" si="13"/>
        <v>3961301</v>
      </c>
      <c r="X29">
        <f t="shared" si="14"/>
        <v>10.931911578320415</v>
      </c>
      <c r="Y29">
        <f t="shared" si="15"/>
        <v>914.75309952483224</v>
      </c>
      <c r="Z29">
        <f t="shared" si="16"/>
        <v>2.7694591420398686</v>
      </c>
      <c r="AA29">
        <v>17</v>
      </c>
      <c r="AB29">
        <v>140.58538278709699</v>
      </c>
      <c r="AC29">
        <v>56.141210000000001</v>
      </c>
      <c r="AD29">
        <v>1403.5519999999999</v>
      </c>
      <c r="AE29">
        <v>5.2368190951770002E-3</v>
      </c>
      <c r="AF29">
        <v>7.2760000000000003E-3</v>
      </c>
      <c r="AH29">
        <f t="shared" ref="AH29:AH43" si="35">(AD29-AC29)/AF29/3600</f>
        <v>51.440458356239688</v>
      </c>
      <c r="AJ29">
        <f t="shared" si="17"/>
        <v>1.6069407437037935</v>
      </c>
      <c r="AK29">
        <f t="shared" si="18"/>
        <v>8.4152579714459556E-3</v>
      </c>
      <c r="AL29">
        <f t="shared" si="19"/>
        <v>1.1692100851188802E-2</v>
      </c>
      <c r="AM29">
        <f t="shared" si="20"/>
        <v>1.4241141546773812</v>
      </c>
    </row>
    <row r="30" spans="1:60" x14ac:dyDescent="0.25">
      <c r="A30">
        <v>18</v>
      </c>
      <c r="B30" t="s">
        <v>158</v>
      </c>
      <c r="C30">
        <v>2</v>
      </c>
      <c r="D30">
        <f t="shared" si="2"/>
        <v>500000</v>
      </c>
      <c r="E30">
        <v>10</v>
      </c>
      <c r="F30">
        <v>0</v>
      </c>
      <c r="G30">
        <v>0</v>
      </c>
      <c r="H30">
        <v>1.1000000000000001</v>
      </c>
      <c r="I30">
        <f t="shared" si="3"/>
        <v>0.26</v>
      </c>
      <c r="J30">
        <v>1000</v>
      </c>
      <c r="K30">
        <v>300</v>
      </c>
      <c r="L30">
        <f t="shared" si="24"/>
        <v>1531</v>
      </c>
      <c r="M30">
        <f t="shared" si="25"/>
        <v>2.9754457781740443E-5</v>
      </c>
      <c r="N30">
        <f t="shared" si="26"/>
        <v>2.7049507074309491E-5</v>
      </c>
      <c r="O30">
        <f t="shared" si="27"/>
        <v>806</v>
      </c>
      <c r="P30">
        <f t="shared" si="34"/>
        <v>40</v>
      </c>
      <c r="Q30">
        <f t="shared" si="28"/>
        <v>123</v>
      </c>
      <c r="R30">
        <f t="shared" si="29"/>
        <v>6.5336973609443215E-5</v>
      </c>
      <c r="S30">
        <f t="shared" si="30"/>
        <v>5000000</v>
      </c>
      <c r="T30">
        <f t="shared" si="31"/>
        <v>1.6499158227686109E-3</v>
      </c>
      <c r="U30">
        <f t="shared" si="32"/>
        <v>24.828300625765337</v>
      </c>
      <c r="V30">
        <f t="shared" si="33"/>
        <v>3.8461538461538458</v>
      </c>
      <c r="W30">
        <f t="shared" si="13"/>
        <v>3965520</v>
      </c>
      <c r="X30">
        <f t="shared" si="14"/>
        <v>6.7273302020433317</v>
      </c>
      <c r="Y30">
        <f t="shared" si="15"/>
        <v>1486.4737867278525</v>
      </c>
      <c r="Z30">
        <f t="shared" si="16"/>
        <v>1.7042825489476112</v>
      </c>
      <c r="AA30">
        <v>18</v>
      </c>
      <c r="AB30">
        <v>125.50652254193599</v>
      </c>
      <c r="AC30">
        <v>66.003439999999998</v>
      </c>
      <c r="AD30">
        <v>1655.6110000000001</v>
      </c>
      <c r="AE30">
        <v>5.0174848502937399E-3</v>
      </c>
      <c r="AF30">
        <v>8.7010000000000004E-3</v>
      </c>
      <c r="AH30">
        <f t="shared" si="35"/>
        <v>50.747920417831928</v>
      </c>
      <c r="AJ30">
        <f t="shared" si="17"/>
        <v>1.4343497716448244</v>
      </c>
      <c r="AK30">
        <f t="shared" si="18"/>
        <v>7.1968282492501914E-3</v>
      </c>
      <c r="AL30">
        <f t="shared" si="19"/>
        <v>1.2480277363081617E-2</v>
      </c>
      <c r="AM30">
        <f t="shared" si="20"/>
        <v>1.271159388148658</v>
      </c>
    </row>
    <row r="31" spans="1:60" x14ac:dyDescent="0.25">
      <c r="A31">
        <v>19</v>
      </c>
      <c r="B31" t="s">
        <v>158</v>
      </c>
      <c r="C31">
        <v>3</v>
      </c>
      <c r="D31">
        <f t="shared" si="2"/>
        <v>500000</v>
      </c>
      <c r="E31">
        <v>10</v>
      </c>
      <c r="F31">
        <v>0</v>
      </c>
      <c r="G31">
        <v>0</v>
      </c>
      <c r="H31">
        <v>1.1000000000000001</v>
      </c>
      <c r="I31">
        <f t="shared" si="3"/>
        <v>0.41</v>
      </c>
      <c r="J31">
        <v>1000</v>
      </c>
      <c r="K31">
        <v>300</v>
      </c>
      <c r="L31">
        <f t="shared" si="24"/>
        <v>2414</v>
      </c>
      <c r="M31">
        <f t="shared" si="25"/>
        <v>1.8868680544518332E-5</v>
      </c>
      <c r="N31">
        <f t="shared" si="26"/>
        <v>1.7153345949562118E-5</v>
      </c>
      <c r="O31">
        <f t="shared" si="27"/>
        <v>692</v>
      </c>
      <c r="P31">
        <f t="shared" si="34"/>
        <v>35</v>
      </c>
      <c r="Q31">
        <f t="shared" si="28"/>
        <v>167</v>
      </c>
      <c r="R31">
        <f t="shared" si="29"/>
        <v>4.1433202776720092E-5</v>
      </c>
      <c r="S31">
        <f t="shared" si="30"/>
        <v>5000000</v>
      </c>
      <c r="T31">
        <f t="shared" si="31"/>
        <v>1.0462880827313142E-3</v>
      </c>
      <c r="U31">
        <f t="shared" si="32"/>
        <v>28.899067641023038</v>
      </c>
      <c r="V31">
        <f t="shared" si="33"/>
        <v>2.4390243902439024</v>
      </c>
      <c r="W31">
        <f t="shared" si="13"/>
        <v>4044740</v>
      </c>
      <c r="X31">
        <f t="shared" si="14"/>
        <v>4.2661118354421133</v>
      </c>
      <c r="Y31">
        <f t="shared" si="15"/>
        <v>2344.0548175323825</v>
      </c>
      <c r="Z31">
        <f t="shared" si="16"/>
        <v>1.0807645432350705</v>
      </c>
      <c r="AA31">
        <v>19</v>
      </c>
      <c r="AB31">
        <v>118.10762314838701</v>
      </c>
      <c r="AC31">
        <v>76.825220000000002</v>
      </c>
      <c r="AD31">
        <v>1933.461</v>
      </c>
      <c r="AE31">
        <v>4.8690713464021301E-3</v>
      </c>
      <c r="AF31">
        <v>1.0049000000000001E-2</v>
      </c>
      <c r="AH31">
        <f t="shared" si="35"/>
        <v>51.321739587134154</v>
      </c>
      <c r="AJ31">
        <f t="shared" si="17"/>
        <v>1.3499420803736488</v>
      </c>
      <c r="AK31">
        <f t="shared" si="18"/>
        <v>6.5729643028498144E-3</v>
      </c>
      <c r="AL31">
        <f t="shared" si="19"/>
        <v>1.3565567965674798E-2</v>
      </c>
      <c r="AM31">
        <f t="shared" si="20"/>
        <v>1.1963550194288386</v>
      </c>
      <c r="AZ31" t="s">
        <v>295</v>
      </c>
    </row>
    <row r="32" spans="1:60" x14ac:dyDescent="0.25">
      <c r="A32">
        <v>20</v>
      </c>
      <c r="B32" t="s">
        <v>158</v>
      </c>
      <c r="C32">
        <v>4</v>
      </c>
      <c r="D32">
        <f t="shared" si="2"/>
        <v>500000</v>
      </c>
      <c r="E32">
        <v>10</v>
      </c>
      <c r="F32">
        <v>0</v>
      </c>
      <c r="G32">
        <v>0</v>
      </c>
      <c r="H32">
        <v>1.1000000000000001</v>
      </c>
      <c r="I32">
        <f t="shared" si="3"/>
        <v>0.66</v>
      </c>
      <c r="J32">
        <v>1000</v>
      </c>
      <c r="K32">
        <v>300</v>
      </c>
      <c r="L32">
        <f t="shared" si="24"/>
        <v>3885</v>
      </c>
      <c r="M32">
        <f t="shared" si="25"/>
        <v>1.1721453065534115E-5</v>
      </c>
      <c r="N32">
        <f t="shared" si="26"/>
        <v>1.065586642321283E-5</v>
      </c>
      <c r="O32">
        <f t="shared" si="27"/>
        <v>591</v>
      </c>
      <c r="P32">
        <f t="shared" si="34"/>
        <v>30</v>
      </c>
      <c r="Q32">
        <f t="shared" si="28"/>
        <v>229</v>
      </c>
      <c r="R32">
        <f t="shared" si="29"/>
        <v>2.5738807785538237E-5</v>
      </c>
      <c r="S32">
        <f t="shared" si="30"/>
        <v>5000000</v>
      </c>
      <c r="T32">
        <f t="shared" si="31"/>
        <v>6.4996683927248308E-4</v>
      </c>
      <c r="U32">
        <f t="shared" si="32"/>
        <v>33.869115710530828</v>
      </c>
      <c r="V32">
        <f t="shared" si="33"/>
        <v>1.5151515151515151</v>
      </c>
      <c r="W32">
        <f t="shared" si="13"/>
        <v>4060170</v>
      </c>
      <c r="X32">
        <f t="shared" si="14"/>
        <v>2.6501603826231306</v>
      </c>
      <c r="Y32">
        <f t="shared" si="15"/>
        <v>3773.3565355399332</v>
      </c>
      <c r="Z32">
        <f t="shared" si="16"/>
        <v>0.67138403443390748</v>
      </c>
      <c r="AA32">
        <v>20</v>
      </c>
      <c r="AB32">
        <v>116.12729205154599</v>
      </c>
      <c r="AC32">
        <v>90.037520000000001</v>
      </c>
      <c r="AD32">
        <v>2295.9899999999998</v>
      </c>
      <c r="AE32">
        <v>4.15586191324322E-3</v>
      </c>
      <c r="AF32">
        <v>1.1948E-2</v>
      </c>
      <c r="AH32">
        <f t="shared" si="35"/>
        <v>51.285953948592045</v>
      </c>
      <c r="AJ32">
        <f t="shared" si="17"/>
        <v>1.3276323497333715</v>
      </c>
      <c r="AK32">
        <f t="shared" si="18"/>
        <v>5.5174567170465216E-3</v>
      </c>
      <c r="AL32">
        <f t="shared" si="19"/>
        <v>1.5862551314614323E-2</v>
      </c>
      <c r="AM32">
        <f t="shared" si="20"/>
        <v>1.1765835354358265</v>
      </c>
      <c r="AZ32" t="s">
        <v>11</v>
      </c>
      <c r="BA32" t="s">
        <v>181</v>
      </c>
      <c r="BB32" t="s">
        <v>296</v>
      </c>
    </row>
    <row r="33" spans="1:54" x14ac:dyDescent="0.25">
      <c r="A33">
        <v>21</v>
      </c>
      <c r="B33" t="s">
        <v>158</v>
      </c>
      <c r="C33">
        <v>5</v>
      </c>
      <c r="D33">
        <f t="shared" si="2"/>
        <v>500000</v>
      </c>
      <c r="E33">
        <v>10</v>
      </c>
      <c r="F33">
        <v>0</v>
      </c>
      <c r="G33">
        <v>0</v>
      </c>
      <c r="H33">
        <v>1.1000000000000001</v>
      </c>
      <c r="I33">
        <f t="shared" si="3"/>
        <v>1.05</v>
      </c>
      <c r="J33">
        <v>1000</v>
      </c>
      <c r="K33">
        <v>300</v>
      </c>
      <c r="L33">
        <f t="shared" si="24"/>
        <v>6181</v>
      </c>
      <c r="M33">
        <f t="shared" si="25"/>
        <v>7.3677704983357286E-6</v>
      </c>
      <c r="N33">
        <f t="shared" si="26"/>
        <v>6.6979731803052069E-6</v>
      </c>
      <c r="O33">
        <f t="shared" si="27"/>
        <v>506</v>
      </c>
      <c r="P33">
        <f t="shared" si="34"/>
        <v>25</v>
      </c>
      <c r="Q33">
        <f t="shared" si="28"/>
        <v>313</v>
      </c>
      <c r="R33">
        <f t="shared" si="29"/>
        <v>1.6178679179481176E-5</v>
      </c>
      <c r="S33">
        <f t="shared" si="30"/>
        <v>5000000</v>
      </c>
      <c r="T33">
        <f t="shared" si="31"/>
        <v>4.0855058468556075E-4</v>
      </c>
      <c r="U33">
        <f t="shared" si="32"/>
        <v>39.538389823630183</v>
      </c>
      <c r="V33">
        <f t="shared" si="33"/>
        <v>0.95238095238095233</v>
      </c>
      <c r="W33">
        <f t="shared" si="13"/>
        <v>3959450</v>
      </c>
      <c r="X33">
        <f t="shared" si="14"/>
        <v>1.6658150976488251</v>
      </c>
      <c r="Y33">
        <f t="shared" si="15"/>
        <v>6003.0672156317114</v>
      </c>
      <c r="Z33">
        <f t="shared" si="16"/>
        <v>0.42201282164417042</v>
      </c>
      <c r="AA33">
        <v>21</v>
      </c>
      <c r="AB33">
        <v>115.03034699596</v>
      </c>
      <c r="AC33">
        <v>105.1087</v>
      </c>
      <c r="AD33">
        <v>2697.8290000000002</v>
      </c>
      <c r="AE33">
        <v>3.8047339641385401E-3</v>
      </c>
      <c r="AF33">
        <v>1.3769999999999999E-2</v>
      </c>
      <c r="AH33">
        <f t="shared" si="35"/>
        <v>52.30211207939967</v>
      </c>
      <c r="AJ33">
        <f t="shared" si="17"/>
        <v>1.3150237609847033</v>
      </c>
      <c r="AK33">
        <f t="shared" si="18"/>
        <v>5.0033155670677022E-3</v>
      </c>
      <c r="AL33">
        <f t="shared" si="19"/>
        <v>1.8107877188759364E-2</v>
      </c>
      <c r="AM33">
        <f t="shared" si="20"/>
        <v>1.1654094645947961</v>
      </c>
      <c r="AY33">
        <f>1/AZ33</f>
        <v>1</v>
      </c>
      <c r="AZ33">
        <v>1</v>
      </c>
      <c r="BB33">
        <f>SQRT(PI())/12/AZ33</f>
        <v>0.14770448757545965</v>
      </c>
    </row>
    <row r="34" spans="1:54" x14ac:dyDescent="0.25">
      <c r="A34">
        <v>22</v>
      </c>
      <c r="B34" t="s">
        <v>158</v>
      </c>
      <c r="C34">
        <v>6</v>
      </c>
      <c r="D34">
        <f t="shared" si="2"/>
        <v>500000</v>
      </c>
      <c r="E34">
        <v>10</v>
      </c>
      <c r="F34">
        <v>0</v>
      </c>
      <c r="G34">
        <v>0</v>
      </c>
      <c r="H34">
        <v>1.1000000000000001</v>
      </c>
      <c r="I34">
        <f t="shared" si="3"/>
        <v>1.68</v>
      </c>
      <c r="J34">
        <v>1000</v>
      </c>
      <c r="K34">
        <v>300</v>
      </c>
      <c r="L34">
        <f t="shared" si="24"/>
        <v>9890</v>
      </c>
      <c r="M34">
        <f t="shared" si="25"/>
        <v>4.6048565614598305E-6</v>
      </c>
      <c r="N34">
        <f t="shared" si="26"/>
        <v>4.1862332376907545E-6</v>
      </c>
      <c r="O34">
        <f t="shared" si="27"/>
        <v>432</v>
      </c>
      <c r="P34">
        <f t="shared" si="34"/>
        <v>22</v>
      </c>
      <c r="Q34">
        <f t="shared" si="28"/>
        <v>428</v>
      </c>
      <c r="R34">
        <f t="shared" si="29"/>
        <v>1.0111674487175737E-5</v>
      </c>
      <c r="S34">
        <f t="shared" si="30"/>
        <v>5000000</v>
      </c>
      <c r="T34">
        <f t="shared" si="31"/>
        <v>2.5534411542847555E-4</v>
      </c>
      <c r="U34">
        <f t="shared" si="32"/>
        <v>46.24438127386788</v>
      </c>
      <c r="V34">
        <f t="shared" si="33"/>
        <v>0.59523809523809523</v>
      </c>
      <c r="W34">
        <f t="shared" si="13"/>
        <v>4067712</v>
      </c>
      <c r="X34">
        <f t="shared" si="14"/>
        <v>1.0411344360305157</v>
      </c>
      <c r="Y34">
        <f t="shared" si="15"/>
        <v>9604.9075450107375</v>
      </c>
      <c r="Z34">
        <f t="shared" si="16"/>
        <v>0.26375801352760653</v>
      </c>
      <c r="AA34">
        <v>22</v>
      </c>
      <c r="AB34">
        <v>115.722085386</v>
      </c>
      <c r="AC34">
        <v>122.9358</v>
      </c>
      <c r="AD34">
        <v>3186.1350000000002</v>
      </c>
      <c r="AE34">
        <v>3.4921760090381002E-3</v>
      </c>
      <c r="AF34">
        <v>1.643E-2</v>
      </c>
      <c r="AG34">
        <v>326272856</v>
      </c>
      <c r="AH34">
        <f t="shared" si="35"/>
        <v>51.788719821464795</v>
      </c>
      <c r="AI34">
        <f>AG34/1024/1024</f>
        <v>311.15804290771484</v>
      </c>
      <c r="AJ34">
        <f t="shared" si="17"/>
        <v>1.3228781893896093</v>
      </c>
      <c r="AK34">
        <f t="shared" si="18"/>
        <v>4.6197234758661538E-3</v>
      </c>
      <c r="AL34">
        <f t="shared" si="19"/>
        <v>2.173488865167128E-2</v>
      </c>
      <c r="AM34">
        <f t="shared" si="20"/>
        <v>1.1723702705312646</v>
      </c>
      <c r="AY34">
        <f t="shared" ref="AY34:AY37" si="36">1/AZ34</f>
        <v>2</v>
      </c>
      <c r="AZ34">
        <v>0.5</v>
      </c>
      <c r="BB34">
        <f t="shared" ref="BB34:BB37" si="37">SQRT(PI())/12/AZ34</f>
        <v>0.2954089751509193</v>
      </c>
    </row>
    <row r="35" spans="1:54" x14ac:dyDescent="0.25">
      <c r="A35">
        <v>23</v>
      </c>
      <c r="B35" t="s">
        <v>158</v>
      </c>
      <c r="C35">
        <v>7</v>
      </c>
      <c r="D35">
        <f t="shared" si="2"/>
        <v>500000</v>
      </c>
      <c r="E35">
        <v>10</v>
      </c>
      <c r="F35">
        <v>0</v>
      </c>
      <c r="G35">
        <v>0</v>
      </c>
      <c r="H35">
        <v>1.1000000000000001</v>
      </c>
      <c r="I35">
        <f t="shared" si="3"/>
        <v>2.68</v>
      </c>
      <c r="J35">
        <v>1000</v>
      </c>
      <c r="K35">
        <v>300</v>
      </c>
      <c r="L35">
        <f t="shared" si="24"/>
        <v>15776</v>
      </c>
      <c r="M35">
        <f t="shared" si="25"/>
        <v>2.8866265012136254E-6</v>
      </c>
      <c r="N35">
        <f t="shared" si="26"/>
        <v>2.6242059101942046E-6</v>
      </c>
      <c r="O35">
        <f t="shared" si="27"/>
        <v>370</v>
      </c>
      <c r="P35">
        <f t="shared" si="34"/>
        <v>19</v>
      </c>
      <c r="Q35">
        <f t="shared" si="28"/>
        <v>584</v>
      </c>
      <c r="R35">
        <f t="shared" si="29"/>
        <v>6.3386616188265816E-6</v>
      </c>
      <c r="S35">
        <f t="shared" si="30"/>
        <v>5000000</v>
      </c>
      <c r="T35">
        <f t="shared" si="31"/>
        <v>1.6006646041785032E-4</v>
      </c>
      <c r="U35">
        <f t="shared" si="32"/>
        <v>54.034044645621385</v>
      </c>
      <c r="V35">
        <f t="shared" si="33"/>
        <v>0.37313432835820892</v>
      </c>
      <c r="W35">
        <f t="shared" si="13"/>
        <v>4105520</v>
      </c>
      <c r="X35">
        <f t="shared" si="14"/>
        <v>0.65265143751166654</v>
      </c>
      <c r="Y35">
        <f t="shared" si="15"/>
        <v>15322.114417040941</v>
      </c>
      <c r="Z35">
        <f t="shared" si="16"/>
        <v>0.16534084430088766</v>
      </c>
      <c r="AA35">
        <v>23</v>
      </c>
      <c r="AB35">
        <v>117.942376915842</v>
      </c>
      <c r="AC35">
        <v>143.6439</v>
      </c>
      <c r="AD35">
        <v>3746.7640000000001</v>
      </c>
      <c r="AE35">
        <v>2.9037371165310001E-3</v>
      </c>
      <c r="AF35">
        <v>1.9269999999999999E-2</v>
      </c>
      <c r="AH35">
        <f t="shared" si="35"/>
        <v>51.939112321974285</v>
      </c>
      <c r="AJ35">
        <f t="shared" si="17"/>
        <v>1.3483367978574539</v>
      </c>
      <c r="AK35">
        <f t="shared" si="18"/>
        <v>3.9152156055232449E-3</v>
      </c>
      <c r="AL35">
        <f t="shared" si="19"/>
        <v>2.5982450094713134E-2</v>
      </c>
      <c r="AM35">
        <f t="shared" si="20"/>
        <v>1.194932374840028</v>
      </c>
      <c r="AY35">
        <f t="shared" si="36"/>
        <v>10</v>
      </c>
      <c r="AZ35">
        <v>0.1</v>
      </c>
      <c r="BA35">
        <v>2.33</v>
      </c>
      <c r="BB35">
        <f t="shared" si="37"/>
        <v>1.4770448757545964</v>
      </c>
    </row>
    <row r="36" spans="1:54" x14ac:dyDescent="0.25">
      <c r="A36">
        <v>24</v>
      </c>
      <c r="B36" t="s">
        <v>158</v>
      </c>
      <c r="C36">
        <v>8</v>
      </c>
      <c r="D36">
        <f t="shared" si="2"/>
        <v>500000</v>
      </c>
      <c r="E36">
        <v>10</v>
      </c>
      <c r="F36">
        <v>0</v>
      </c>
      <c r="G36">
        <v>0</v>
      </c>
      <c r="H36">
        <v>1.1000000000000001</v>
      </c>
      <c r="I36">
        <f t="shared" si="3"/>
        <v>4.29</v>
      </c>
      <c r="J36">
        <v>1000</v>
      </c>
      <c r="K36">
        <v>300</v>
      </c>
      <c r="L36">
        <f t="shared" si="24"/>
        <v>25254</v>
      </c>
      <c r="M36">
        <f t="shared" si="25"/>
        <v>1.8033004716206328E-6</v>
      </c>
      <c r="N36">
        <f t="shared" si="26"/>
        <v>1.6393640651096661E-6</v>
      </c>
      <c r="O36">
        <f t="shared" si="27"/>
        <v>316</v>
      </c>
      <c r="P36">
        <f t="shared" si="34"/>
        <v>16</v>
      </c>
      <c r="Q36">
        <f t="shared" si="28"/>
        <v>799</v>
      </c>
      <c r="R36">
        <f t="shared" si="29"/>
        <v>3.9598165823904983E-6</v>
      </c>
      <c r="S36">
        <f t="shared" si="30"/>
        <v>5000000</v>
      </c>
      <c r="T36">
        <f t="shared" si="31"/>
        <v>9.999489834961279E-5</v>
      </c>
      <c r="U36">
        <f t="shared" si="32"/>
        <v>63.208426130545355</v>
      </c>
      <c r="V36">
        <f t="shared" si="33"/>
        <v>0.23310023310023309</v>
      </c>
      <c r="W36">
        <f t="shared" si="13"/>
        <v>4039744</v>
      </c>
      <c r="X36">
        <f t="shared" si="14"/>
        <v>0.40771698194202011</v>
      </c>
      <c r="Y36">
        <f t="shared" si="15"/>
        <v>24526.817481009566</v>
      </c>
      <c r="Z36">
        <f t="shared" si="16"/>
        <v>0.10328985145137039</v>
      </c>
      <c r="AA36">
        <v>24</v>
      </c>
      <c r="AB36">
        <v>121.542001706097</v>
      </c>
      <c r="AC36">
        <v>168.03299999999999</v>
      </c>
      <c r="AD36">
        <v>3612.7660000000001</v>
      </c>
      <c r="AE36">
        <v>2.95531147905056E-3</v>
      </c>
      <c r="AF36">
        <v>2.2516999999999999E-2</v>
      </c>
      <c r="AH36">
        <f t="shared" si="35"/>
        <v>42.495460220179325</v>
      </c>
      <c r="AJ36">
        <f t="shared" si="17"/>
        <v>1.3894538144980499</v>
      </c>
      <c r="AK36">
        <f t="shared" si="18"/>
        <v>4.1062688075966742E-3</v>
      </c>
      <c r="AL36">
        <f t="shared" si="19"/>
        <v>3.1286331541052592E-2</v>
      </c>
      <c r="AM36">
        <f t="shared" si="20"/>
        <v>1.2313713820812136</v>
      </c>
      <c r="AY36">
        <f t="shared" si="36"/>
        <v>20</v>
      </c>
      <c r="AZ36">
        <v>0.05</v>
      </c>
      <c r="BB36">
        <f t="shared" si="37"/>
        <v>2.9540897515091928</v>
      </c>
    </row>
    <row r="37" spans="1:54" x14ac:dyDescent="0.25">
      <c r="A37">
        <v>25</v>
      </c>
      <c r="B37" t="s">
        <v>158</v>
      </c>
      <c r="C37">
        <v>9</v>
      </c>
      <c r="D37">
        <f t="shared" si="2"/>
        <v>500000</v>
      </c>
      <c r="E37">
        <v>10</v>
      </c>
      <c r="F37">
        <v>0</v>
      </c>
      <c r="G37">
        <v>0</v>
      </c>
      <c r="H37">
        <v>1.1000000000000001</v>
      </c>
      <c r="I37">
        <f t="shared" si="3"/>
        <v>6.87</v>
      </c>
      <c r="J37">
        <v>1000</v>
      </c>
      <c r="K37">
        <v>300</v>
      </c>
      <c r="L37">
        <f t="shared" si="24"/>
        <v>40441</v>
      </c>
      <c r="M37">
        <f t="shared" si="25"/>
        <v>1.1260784604443254E-6</v>
      </c>
      <c r="N37">
        <f t="shared" si="26"/>
        <v>1.023707691313023E-6</v>
      </c>
      <c r="O37">
        <f t="shared" si="27"/>
        <v>270</v>
      </c>
      <c r="P37">
        <f t="shared" si="34"/>
        <v>14</v>
      </c>
      <c r="Q37">
        <f t="shared" si="28"/>
        <v>1094</v>
      </c>
      <c r="R37">
        <f t="shared" si="29"/>
        <v>2.4727238920604421E-6</v>
      </c>
      <c r="S37">
        <f t="shared" si="30"/>
        <v>5000000</v>
      </c>
      <c r="T37">
        <f t="shared" si="31"/>
        <v>6.2442229100413224E-5</v>
      </c>
      <c r="U37">
        <f t="shared" si="32"/>
        <v>73.950558501414548</v>
      </c>
      <c r="V37">
        <f t="shared" si="33"/>
        <v>0.14556040756914118</v>
      </c>
      <c r="W37">
        <f t="shared" si="13"/>
        <v>4135320</v>
      </c>
      <c r="X37">
        <f t="shared" si="14"/>
        <v>0.25460056077602128</v>
      </c>
      <c r="Y37">
        <f t="shared" si="15"/>
        <v>39277.21121084749</v>
      </c>
      <c r="Z37">
        <f t="shared" si="16"/>
        <v>6.4499776233825176E-2</v>
      </c>
      <c r="AA37">
        <v>25</v>
      </c>
      <c r="AB37">
        <v>125.515337756626</v>
      </c>
      <c r="AC37">
        <v>147.4425</v>
      </c>
      <c r="AD37">
        <v>4275.8969999999999</v>
      </c>
      <c r="AE37">
        <v>2.46002968162596E-3</v>
      </c>
      <c r="AF37">
        <v>2.6485999999999999E-2</v>
      </c>
      <c r="AH37">
        <f t="shared" si="35"/>
        <v>43.298078859271563</v>
      </c>
      <c r="AJ37">
        <f t="shared" si="17"/>
        <v>1.4349020791995761</v>
      </c>
      <c r="AK37">
        <f t="shared" si="18"/>
        <v>3.5299017050577611E-3</v>
      </c>
      <c r="AL37">
        <f t="shared" si="19"/>
        <v>3.8004816469679972E-2</v>
      </c>
      <c r="AM37">
        <f t="shared" si="20"/>
        <v>1.2716488579748102</v>
      </c>
      <c r="AY37">
        <f t="shared" si="36"/>
        <v>100</v>
      </c>
      <c r="AZ37">
        <v>0.01</v>
      </c>
      <c r="BB37">
        <f t="shared" si="37"/>
        <v>14.770448757545964</v>
      </c>
    </row>
    <row r="38" spans="1:54" x14ac:dyDescent="0.25">
      <c r="A38">
        <v>26</v>
      </c>
      <c r="B38" t="s">
        <v>158</v>
      </c>
      <c r="C38">
        <v>10</v>
      </c>
      <c r="D38">
        <f t="shared" si="2"/>
        <v>500000</v>
      </c>
      <c r="E38">
        <v>10</v>
      </c>
      <c r="F38">
        <v>0</v>
      </c>
      <c r="G38">
        <v>0</v>
      </c>
      <c r="H38">
        <v>1.1000000000000001</v>
      </c>
      <c r="I38">
        <f t="shared" si="3"/>
        <v>11</v>
      </c>
      <c r="J38">
        <v>1000</v>
      </c>
      <c r="K38">
        <v>300</v>
      </c>
      <c r="L38">
        <f t="shared" si="24"/>
        <v>64753</v>
      </c>
      <c r="M38">
        <f t="shared" si="25"/>
        <v>7.0328718393204678E-7</v>
      </c>
      <c r="N38">
        <f t="shared" si="26"/>
        <v>6.3935198539276978E-7</v>
      </c>
      <c r="O38">
        <f t="shared" si="27"/>
        <v>231</v>
      </c>
      <c r="P38">
        <f t="shared" si="34"/>
        <v>12</v>
      </c>
      <c r="Q38">
        <f t="shared" si="28"/>
        <v>1497</v>
      </c>
      <c r="R38">
        <f t="shared" si="29"/>
        <v>1.5443284671322943E-6</v>
      </c>
      <c r="S38">
        <f t="shared" si="30"/>
        <v>5000000</v>
      </c>
      <c r="T38">
        <f t="shared" si="31"/>
        <v>3.8998010356348986E-5</v>
      </c>
      <c r="U38">
        <f t="shared" si="32"/>
        <v>86.514076119361533</v>
      </c>
      <c r="V38">
        <f t="shared" si="33"/>
        <v>9.0909090909090912E-2</v>
      </c>
      <c r="W38">
        <f t="shared" si="13"/>
        <v>4149684</v>
      </c>
      <c r="X38">
        <f t="shared" si="14"/>
        <v>0.15900962295738785</v>
      </c>
      <c r="Y38">
        <f t="shared" si="15"/>
        <v>62889.275592332211</v>
      </c>
      <c r="Z38">
        <f t="shared" si="16"/>
        <v>4.0283042066034454E-2</v>
      </c>
      <c r="AA38">
        <v>26</v>
      </c>
      <c r="AB38">
        <v>128.05320096190499</v>
      </c>
      <c r="AC38">
        <v>172.4913</v>
      </c>
      <c r="AD38">
        <v>5117.33</v>
      </c>
      <c r="AE38">
        <v>2.2344208061861699E-3</v>
      </c>
      <c r="AF38">
        <v>3.1400999999999998E-2</v>
      </c>
      <c r="AH38">
        <f t="shared" si="35"/>
        <v>43.742756777031161</v>
      </c>
      <c r="AJ38">
        <f t="shared" si="17"/>
        <v>1.4639082049265375</v>
      </c>
      <c r="AK38">
        <f t="shared" si="18"/>
        <v>3.2709869514345028E-3</v>
      </c>
      <c r="AL38">
        <f t="shared" si="19"/>
        <v>4.5968181542898202E-2</v>
      </c>
      <c r="AM38">
        <f t="shared" si="20"/>
        <v>1.2973548675971112</v>
      </c>
    </row>
    <row r="39" spans="1:54" x14ac:dyDescent="0.25">
      <c r="A39">
        <v>27</v>
      </c>
      <c r="B39" t="s">
        <v>158</v>
      </c>
      <c r="C39">
        <v>11</v>
      </c>
      <c r="D39">
        <f t="shared" si="2"/>
        <v>500000</v>
      </c>
      <c r="E39">
        <v>10</v>
      </c>
      <c r="F39">
        <v>0</v>
      </c>
      <c r="G39">
        <v>0</v>
      </c>
      <c r="H39">
        <v>1.1000000000000001</v>
      </c>
      <c r="I39">
        <f t="shared" si="3"/>
        <v>17.59</v>
      </c>
      <c r="J39">
        <v>1000</v>
      </c>
      <c r="K39">
        <v>300</v>
      </c>
      <c r="L39">
        <f t="shared" si="24"/>
        <v>103546</v>
      </c>
      <c r="M39">
        <f t="shared" si="25"/>
        <v>4.3980437880912532E-7</v>
      </c>
      <c r="N39">
        <f t="shared" si="26"/>
        <v>3.9982216255375027E-7</v>
      </c>
      <c r="O39">
        <f t="shared" si="27"/>
        <v>198</v>
      </c>
      <c r="P39">
        <f t="shared" si="34"/>
        <v>10</v>
      </c>
      <c r="Q39">
        <f t="shared" si="28"/>
        <v>2047</v>
      </c>
      <c r="R39">
        <f t="shared" si="29"/>
        <v>9.6575401583031472E-7</v>
      </c>
      <c r="S39">
        <f t="shared" si="30"/>
        <v>5000000</v>
      </c>
      <c r="T39">
        <f t="shared" si="31"/>
        <v>2.438761307105394E-5</v>
      </c>
      <c r="U39">
        <f t="shared" si="32"/>
        <v>101.16830934555924</v>
      </c>
      <c r="V39">
        <f t="shared" si="33"/>
        <v>5.6850483229107449E-2</v>
      </c>
      <c r="W39">
        <f t="shared" si="13"/>
        <v>4053060</v>
      </c>
      <c r="X39">
        <f t="shared" si="14"/>
        <v>9.9437512935262443E-2</v>
      </c>
      <c r="Y39">
        <f t="shared" si="15"/>
        <v>100565.66887901124</v>
      </c>
      <c r="Z39">
        <f t="shared" si="16"/>
        <v>2.5191214481317736E-2</v>
      </c>
      <c r="AA39">
        <v>27</v>
      </c>
      <c r="AB39">
        <v>129.76867063176499</v>
      </c>
      <c r="AC39">
        <v>201.70910000000001</v>
      </c>
      <c r="AD39">
        <v>5984.1319999999996</v>
      </c>
      <c r="AE39">
        <v>2.1750193479621299E-3</v>
      </c>
      <c r="AF39">
        <v>3.5966999999999999E-2</v>
      </c>
      <c r="AH39">
        <f t="shared" si="35"/>
        <v>44.658397512534641</v>
      </c>
      <c r="AJ39">
        <f t="shared" si="17"/>
        <v>1.4835185571309439</v>
      </c>
      <c r="AK39">
        <f t="shared" si="18"/>
        <v>3.2266815648206654E-3</v>
      </c>
      <c r="AL39">
        <f t="shared" si="19"/>
        <v>5.3357711944328659E-2</v>
      </c>
      <c r="AM39">
        <f t="shared" si="20"/>
        <v>1.314734089738268</v>
      </c>
    </row>
    <row r="40" spans="1:54" x14ac:dyDescent="0.25">
      <c r="A40">
        <v>28</v>
      </c>
      <c r="B40" t="s">
        <v>158</v>
      </c>
      <c r="C40">
        <v>12</v>
      </c>
      <c r="D40">
        <f t="shared" si="2"/>
        <v>500000</v>
      </c>
      <c r="E40">
        <v>10</v>
      </c>
      <c r="F40">
        <v>0</v>
      </c>
      <c r="G40">
        <v>0</v>
      </c>
      <c r="H40">
        <v>1.1000000000000001</v>
      </c>
      <c r="I40">
        <f t="shared" si="3"/>
        <v>28.15</v>
      </c>
      <c r="J40">
        <v>1000</v>
      </c>
      <c r="K40">
        <v>300</v>
      </c>
      <c r="L40">
        <f t="shared" si="24"/>
        <v>165709</v>
      </c>
      <c r="M40">
        <f t="shared" si="25"/>
        <v>2.7481914825053339E-7</v>
      </c>
      <c r="N40">
        <f t="shared" si="26"/>
        <v>2.4983558931866672E-7</v>
      </c>
      <c r="O40">
        <f t="shared" si="27"/>
        <v>169</v>
      </c>
      <c r="P40">
        <f t="shared" si="34"/>
        <v>8</v>
      </c>
      <c r="Q40">
        <f t="shared" si="28"/>
        <v>2801</v>
      </c>
      <c r="R40">
        <f t="shared" si="29"/>
        <v>6.0346760704991961E-7</v>
      </c>
      <c r="S40">
        <f t="shared" si="30"/>
        <v>5000000</v>
      </c>
      <c r="T40">
        <f t="shared" si="31"/>
        <v>1.523900937548273E-5</v>
      </c>
      <c r="U40">
        <f t="shared" si="32"/>
        <v>118.33558052725597</v>
      </c>
      <c r="V40">
        <f t="shared" si="33"/>
        <v>3.5523978685612793E-2</v>
      </c>
      <c r="W40">
        <f t="shared" si="13"/>
        <v>3786952</v>
      </c>
      <c r="X40">
        <f t="shared" si="14"/>
        <v>6.2135199024201296E-2</v>
      </c>
      <c r="Y40">
        <f t="shared" si="15"/>
        <v>160939.37344765017</v>
      </c>
      <c r="Z40">
        <f t="shared" si="16"/>
        <v>1.5741153205199965E-2</v>
      </c>
      <c r="AA40">
        <v>28</v>
      </c>
      <c r="AB40">
        <v>130.65591358095199</v>
      </c>
      <c r="AC40">
        <v>235.93709999999999</v>
      </c>
      <c r="AD40">
        <v>6999.5829999999996</v>
      </c>
      <c r="AE40">
        <v>1.8488398582277401E-3</v>
      </c>
      <c r="AF40">
        <v>4.3466999999999999E-2</v>
      </c>
      <c r="AH40">
        <f t="shared" si="35"/>
        <v>43.223376993530216</v>
      </c>
      <c r="AJ40">
        <f t="shared" si="17"/>
        <v>1.4936608172842125</v>
      </c>
      <c r="AK40">
        <f t="shared" si="18"/>
        <v>2.761539653668074E-3</v>
      </c>
      <c r="AL40">
        <f t="shared" si="19"/>
        <v>6.4924954744892863E-2</v>
      </c>
      <c r="AM40">
        <f t="shared" si="20"/>
        <v>1.3237224337710414</v>
      </c>
    </row>
    <row r="41" spans="1:54" x14ac:dyDescent="0.25">
      <c r="A41">
        <v>29</v>
      </c>
      <c r="B41" t="s">
        <v>158</v>
      </c>
      <c r="C41">
        <v>13</v>
      </c>
      <c r="D41">
        <f t="shared" si="2"/>
        <v>500000</v>
      </c>
      <c r="E41">
        <v>10</v>
      </c>
      <c r="F41">
        <v>0</v>
      </c>
      <c r="G41">
        <v>0</v>
      </c>
      <c r="H41">
        <v>1.1000000000000001</v>
      </c>
      <c r="I41">
        <f t="shared" si="3"/>
        <v>45.04</v>
      </c>
      <c r="J41">
        <v>1000</v>
      </c>
      <c r="K41">
        <v>300</v>
      </c>
      <c r="L41">
        <f t="shared" si="24"/>
        <v>265134</v>
      </c>
      <c r="M41">
        <f t="shared" si="25"/>
        <v>1.7176196765658337E-7</v>
      </c>
      <c r="N41">
        <f t="shared" si="26"/>
        <v>1.5614724332416669E-7</v>
      </c>
      <c r="O41">
        <f t="shared" si="27"/>
        <v>145</v>
      </c>
      <c r="P41">
        <f t="shared" si="34"/>
        <v>7</v>
      </c>
      <c r="Q41">
        <f t="shared" si="28"/>
        <v>3831</v>
      </c>
      <c r="R41">
        <f t="shared" si="29"/>
        <v>3.7716725440619976E-7</v>
      </c>
      <c r="S41">
        <f t="shared" si="30"/>
        <v>5000000</v>
      </c>
      <c r="T41">
        <f t="shared" si="31"/>
        <v>9.5243808596767064E-6</v>
      </c>
      <c r="U41">
        <f t="shared" si="32"/>
        <v>138.40613460936547</v>
      </c>
      <c r="V41">
        <f t="shared" si="33"/>
        <v>2.2202486678507993E-2</v>
      </c>
      <c r="W41">
        <f t="shared" si="13"/>
        <v>3888465</v>
      </c>
      <c r="X41">
        <f t="shared" si="14"/>
        <v>3.8834499390125808E-2</v>
      </c>
      <c r="Y41">
        <f t="shared" si="15"/>
        <v>257502.99751624026</v>
      </c>
      <c r="Z41">
        <f t="shared" si="16"/>
        <v>9.838220753249978E-3</v>
      </c>
      <c r="AA41">
        <v>29</v>
      </c>
      <c r="AB41">
        <v>132.735569393182</v>
      </c>
      <c r="AC41">
        <v>275.95339999999999</v>
      </c>
      <c r="AD41">
        <v>8493.3729999999996</v>
      </c>
      <c r="AE41">
        <v>1.5785962957213301E-3</v>
      </c>
      <c r="AF41">
        <v>5.0944000000000003E-2</v>
      </c>
      <c r="AH41">
        <f t="shared" si="35"/>
        <v>44.806386533361241</v>
      </c>
      <c r="AJ41">
        <f t="shared" si="17"/>
        <v>1.5174377702520965</v>
      </c>
      <c r="AK41">
        <f t="shared" si="18"/>
        <v>2.3954216431075941E-3</v>
      </c>
      <c r="AL41">
        <f t="shared" si="19"/>
        <v>7.730434976772281E-2</v>
      </c>
      <c r="AM41">
        <f t="shared" si="20"/>
        <v>1.3447942096964038</v>
      </c>
    </row>
    <row r="42" spans="1:54" x14ac:dyDescent="0.25">
      <c r="A42">
        <v>30</v>
      </c>
      <c r="B42" t="s">
        <v>158</v>
      </c>
      <c r="C42">
        <v>14</v>
      </c>
      <c r="D42">
        <f t="shared" si="2"/>
        <v>500000</v>
      </c>
      <c r="E42">
        <v>10</v>
      </c>
      <c r="F42">
        <v>0</v>
      </c>
      <c r="G42">
        <v>0</v>
      </c>
      <c r="H42">
        <v>1.1000000000000001</v>
      </c>
      <c r="I42">
        <f t="shared" si="3"/>
        <v>72.06</v>
      </c>
      <c r="J42">
        <v>1000</v>
      </c>
      <c r="K42">
        <v>300</v>
      </c>
      <c r="L42">
        <f t="shared" si="24"/>
        <v>424191</v>
      </c>
      <c r="M42">
        <f t="shared" si="25"/>
        <v>1.0735718877674873E-7</v>
      </c>
      <c r="N42">
        <f t="shared" si="26"/>
        <v>9.7597444342498837E-8</v>
      </c>
      <c r="O42">
        <f t="shared" si="27"/>
        <v>124</v>
      </c>
      <c r="P42">
        <f t="shared" si="34"/>
        <v>6</v>
      </c>
      <c r="Q42">
        <f t="shared" si="28"/>
        <v>5241</v>
      </c>
      <c r="R42">
        <f t="shared" si="29"/>
        <v>2.3574261918477983E-7</v>
      </c>
      <c r="S42">
        <f t="shared" si="30"/>
        <v>5000000</v>
      </c>
      <c r="T42">
        <f t="shared" si="31"/>
        <v>5.9530684696064219E-6</v>
      </c>
      <c r="U42">
        <f t="shared" si="32"/>
        <v>161.87780188448673</v>
      </c>
      <c r="V42">
        <f t="shared" si="33"/>
        <v>1.3877324451845684E-2</v>
      </c>
      <c r="W42">
        <f t="shared" si="13"/>
        <v>3899304</v>
      </c>
      <c r="X42">
        <f t="shared" si="14"/>
        <v>2.4272909416198533E-2</v>
      </c>
      <c r="Y42">
        <f t="shared" si="15"/>
        <v>411981.92719849636</v>
      </c>
      <c r="Z42">
        <f t="shared" si="16"/>
        <v>6.1492292912347897E-3</v>
      </c>
      <c r="AA42">
        <v>30</v>
      </c>
      <c r="AB42">
        <v>133.20137359213501</v>
      </c>
      <c r="AC42">
        <v>215.16759999999999</v>
      </c>
      <c r="AD42">
        <v>9969.6080000000002</v>
      </c>
      <c r="AE42">
        <v>1.53028627851757E-3</v>
      </c>
      <c r="AF42">
        <v>5.9891E-2</v>
      </c>
      <c r="AH42">
        <f t="shared" si="35"/>
        <v>45.241635267031405</v>
      </c>
      <c r="AJ42">
        <f t="shared" si="17"/>
        <v>1.5227623344546659</v>
      </c>
      <c r="AK42">
        <f t="shared" si="18"/>
        <v>2.3302623058593579E-3</v>
      </c>
      <c r="AL42">
        <f t="shared" si="19"/>
        <v>9.1199758972824396E-2</v>
      </c>
      <c r="AM42">
        <f t="shared" si="20"/>
        <v>1.3495129818590228</v>
      </c>
      <c r="AY42" t="s">
        <v>289</v>
      </c>
    </row>
    <row r="43" spans="1:54" x14ac:dyDescent="0.25">
      <c r="A43">
        <v>31</v>
      </c>
      <c r="B43" t="s">
        <v>158</v>
      </c>
      <c r="C43">
        <v>15</v>
      </c>
      <c r="D43">
        <f t="shared" si="2"/>
        <v>500000</v>
      </c>
      <c r="E43">
        <v>10</v>
      </c>
      <c r="F43">
        <v>0</v>
      </c>
      <c r="G43">
        <v>0</v>
      </c>
      <c r="H43">
        <v>1.1000000000000001</v>
      </c>
      <c r="I43">
        <f t="shared" si="3"/>
        <v>115.29</v>
      </c>
      <c r="J43">
        <v>1000</v>
      </c>
      <c r="K43">
        <v>300</v>
      </c>
      <c r="L43">
        <f t="shared" si="24"/>
        <v>678671</v>
      </c>
      <c r="M43">
        <f t="shared" si="25"/>
        <v>6.7101734957520298E-8</v>
      </c>
      <c r="N43">
        <f t="shared" si="26"/>
        <v>6.1001577234109352E-8</v>
      </c>
      <c r="O43">
        <f t="shared" si="27"/>
        <v>106</v>
      </c>
      <c r="P43">
        <f t="shared" si="34"/>
        <v>5</v>
      </c>
      <c r="Q43">
        <f t="shared" si="28"/>
        <v>7169</v>
      </c>
      <c r="R43">
        <f t="shared" si="29"/>
        <v>1.4734680491330762E-7</v>
      </c>
      <c r="S43">
        <f t="shared" si="30"/>
        <v>5000000</v>
      </c>
      <c r="T43">
        <f t="shared" si="31"/>
        <v>3.72086142700875E-6</v>
      </c>
      <c r="U43">
        <f t="shared" si="32"/>
        <v>189.33014129456402</v>
      </c>
      <c r="V43">
        <f t="shared" si="33"/>
        <v>8.6737791655824431E-3</v>
      </c>
      <c r="W43">
        <f t="shared" si="13"/>
        <v>3799570</v>
      </c>
      <c r="X43">
        <f t="shared" si="14"/>
        <v>1.5171357902084017E-2</v>
      </c>
      <c r="Y43">
        <f t="shared" si="15"/>
        <v>659136.78027636197</v>
      </c>
      <c r="Z43">
        <f t="shared" si="16"/>
        <v>3.8434683209851582E-3</v>
      </c>
      <c r="AA43">
        <v>31</v>
      </c>
      <c r="AB43">
        <v>132.83309059468101</v>
      </c>
      <c r="AC43">
        <v>251.65710000000001</v>
      </c>
      <c r="AD43">
        <v>12037.79</v>
      </c>
      <c r="AE43">
        <v>1.2557284600224099E-3</v>
      </c>
      <c r="AF43">
        <v>6.9003999999999996E-2</v>
      </c>
      <c r="AH43">
        <f t="shared" si="35"/>
        <v>47.445449619667784</v>
      </c>
      <c r="AJ43">
        <f t="shared" si="17"/>
        <v>1.5185505009106897</v>
      </c>
      <c r="AK43">
        <f t="shared" si="18"/>
        <v>1.9068870819748396E-3</v>
      </c>
      <c r="AL43">
        <f t="shared" si="19"/>
        <v>0.10478605876484122</v>
      </c>
      <c r="AM43">
        <f t="shared" si="20"/>
        <v>1.3457803415668259</v>
      </c>
      <c r="AY43">
        <f>AZ43/2</f>
        <v>0.01</v>
      </c>
      <c r="AZ43">
        <v>0.02</v>
      </c>
      <c r="BA43">
        <v>1.35</v>
      </c>
    </row>
    <row r="44" spans="1:54" x14ac:dyDescent="0.25">
      <c r="AY44">
        <f t="shared" ref="AY44:AY52" si="38">AZ44/2</f>
        <v>0.02</v>
      </c>
      <c r="AZ44">
        <v>0.04</v>
      </c>
      <c r="BA44">
        <v>1.34</v>
      </c>
    </row>
    <row r="45" spans="1:54" ht="13.8" x14ac:dyDescent="0.25">
      <c r="O45">
        <v>0.5</v>
      </c>
      <c r="AB45" t="s">
        <v>282</v>
      </c>
      <c r="AH45" s="88" t="s">
        <v>287</v>
      </c>
      <c r="AY45">
        <f t="shared" si="38"/>
        <v>0.05</v>
      </c>
      <c r="AZ45">
        <v>0.1</v>
      </c>
      <c r="BA45">
        <v>1.32</v>
      </c>
    </row>
    <row r="46" spans="1:54" x14ac:dyDescent="0.25">
      <c r="A46" t="s">
        <v>277</v>
      </c>
      <c r="C46" s="75" t="s">
        <v>8</v>
      </c>
      <c r="D46" s="75" t="s">
        <v>107</v>
      </c>
      <c r="E46" s="75" t="s">
        <v>28</v>
      </c>
      <c r="F46" s="75" t="s">
        <v>258</v>
      </c>
      <c r="G46" s="75" t="s">
        <v>259</v>
      </c>
      <c r="H46" s="75" t="s">
        <v>260</v>
      </c>
      <c r="I46" s="75" t="s">
        <v>11</v>
      </c>
      <c r="J46" s="75" t="s">
        <v>25</v>
      </c>
      <c r="K46" s="75" t="s">
        <v>23</v>
      </c>
      <c r="L46" s="75" t="s">
        <v>265</v>
      </c>
      <c r="M46" s="75" t="s">
        <v>95</v>
      </c>
      <c r="N46" s="75" t="s">
        <v>96</v>
      </c>
      <c r="O46" s="75" t="s">
        <v>267</v>
      </c>
      <c r="P46" s="75" t="s">
        <v>268</v>
      </c>
      <c r="Q46" s="75" t="s">
        <v>269</v>
      </c>
      <c r="R46" s="84" t="s">
        <v>8</v>
      </c>
      <c r="S46" s="84" t="s">
        <v>264</v>
      </c>
      <c r="T46" s="84" t="s">
        <v>266</v>
      </c>
      <c r="U46" s="84" t="s">
        <v>69</v>
      </c>
      <c r="V46" s="42" t="s">
        <v>67</v>
      </c>
      <c r="W46" s="84" t="s">
        <v>272</v>
      </c>
      <c r="X46" s="84" t="s">
        <v>271</v>
      </c>
      <c r="Y46" s="84" t="s">
        <v>273</v>
      </c>
      <c r="Z46" s="87" t="s">
        <v>69</v>
      </c>
      <c r="AB46" s="26" t="s">
        <v>200</v>
      </c>
      <c r="AC46" s="26" t="s">
        <v>274</v>
      </c>
      <c r="AD46" s="26" t="s">
        <v>275</v>
      </c>
      <c r="AE46" s="86" t="s">
        <v>283</v>
      </c>
      <c r="AF46" s="86"/>
      <c r="AG46" s="86"/>
      <c r="AH46" s="86" t="s">
        <v>285</v>
      </c>
      <c r="AI46" s="86" t="s">
        <v>286</v>
      </c>
      <c r="AJ46" s="42" t="s">
        <v>181</v>
      </c>
      <c r="AK46" s="86" t="s">
        <v>279</v>
      </c>
      <c r="AL46" s="86" t="s">
        <v>278</v>
      </c>
      <c r="AM46" s="86" t="s">
        <v>280</v>
      </c>
      <c r="AY46">
        <f t="shared" si="38"/>
        <v>0.1</v>
      </c>
      <c r="AZ46">
        <v>0.2</v>
      </c>
      <c r="BA46">
        <v>1.28</v>
      </c>
    </row>
    <row r="47" spans="1:54" x14ac:dyDescent="0.25">
      <c r="A47">
        <v>0</v>
      </c>
      <c r="B47" t="s">
        <v>158</v>
      </c>
      <c r="C47">
        <v>0</v>
      </c>
      <c r="D47">
        <v>2000000</v>
      </c>
      <c r="E47">
        <v>10</v>
      </c>
      <c r="F47">
        <v>5</v>
      </c>
      <c r="G47">
        <v>2.5</v>
      </c>
      <c r="H47">
        <v>1.1000000000000001</v>
      </c>
      <c r="I47">
        <f>ROUND(0.1*$G$7^C47,2)</f>
        <v>0.1</v>
      </c>
      <c r="J47">
        <v>1000</v>
      </c>
      <c r="K47">
        <v>300</v>
      </c>
      <c r="L47">
        <f>ROUND(D47/S47/R47,0)</f>
        <v>392</v>
      </c>
      <c r="M47">
        <f>N47*H47</f>
        <v>7.7361590232525134E-5</v>
      </c>
      <c r="N47">
        <f>R47*$G$2*K47</f>
        <v>7.032871839320466E-5</v>
      </c>
      <c r="O47">
        <f>ROUND(J47*(E47+F47)/U47/$O$45,0)</f>
        <v>1661</v>
      </c>
      <c r="P47">
        <f>ROUND(IF(J47*G47&gt;0,J47*G47,J47/2)/U47/$O$45,0)</f>
        <v>277</v>
      </c>
      <c r="Q47">
        <f>ROUND(L47/U47/$O$45,0)</f>
        <v>43</v>
      </c>
      <c r="R47">
        <f>1/(SQRT(2)*PI()*($I$5^2)*I47*J47)</f>
        <v>1.6987613138455234E-4</v>
      </c>
      <c r="S47">
        <f>J47/2*J47*E47+2*J47*J47*G47*F47</f>
        <v>30000000</v>
      </c>
      <c r="T47">
        <f>$J$5*R47</f>
        <v>4.2897811391983875E-3</v>
      </c>
      <c r="U47">
        <f>(1/R47)^(1/3)</f>
        <v>18.056041570190434</v>
      </c>
      <c r="V47">
        <f t="shared" ref="V47:V62" si="39">1/I47</f>
        <v>10</v>
      </c>
      <c r="W47">
        <f>O47*P47*Q47</f>
        <v>19784171</v>
      </c>
      <c r="X47">
        <f>1/2*(H47-1)*SQRT(PI()/2*8.31/$H$5*K47)/E47/I47</f>
        <v>17.491058525312663</v>
      </c>
      <c r="Y47">
        <f>E47*J47/X47</f>
        <v>571.72068720302013</v>
      </c>
      <c r="Z47">
        <f>V47*SQRT(PI())/4</f>
        <v>4.4311346272637895</v>
      </c>
      <c r="AA47">
        <v>0</v>
      </c>
      <c r="AB47">
        <v>147.566439522998</v>
      </c>
      <c r="AC47">
        <v>28.000160000000001</v>
      </c>
      <c r="AD47">
        <v>492.0009</v>
      </c>
      <c r="AE47">
        <v>7.7895686417265696E-3</v>
      </c>
      <c r="AF47">
        <v>2.8059999999999999E-3</v>
      </c>
      <c r="AG47">
        <v>1290715880</v>
      </c>
      <c r="AH47">
        <f>(AD47-AC47)/AF47/3600</f>
        <v>45.933390749980205</v>
      </c>
      <c r="AI47">
        <f>AG47/1024/1024</f>
        <v>1230.9225845336914</v>
      </c>
      <c r="AJ47">
        <f>AB47*$K$5/(0.5*(M47-N47)/E47*J47*SQRT(PI()/2/(8.31/$H$5)/K47))*2/L47</f>
        <v>2.5333322188502065</v>
      </c>
      <c r="AM47">
        <f>AJ47*SQRT(PI())/2</f>
        <v>2.245107223462032</v>
      </c>
      <c r="AY47">
        <f t="shared" si="38"/>
        <v>0.2</v>
      </c>
      <c r="AZ47">
        <v>0.4</v>
      </c>
      <c r="BA47">
        <v>1.26</v>
      </c>
    </row>
    <row r="48" spans="1:54" x14ac:dyDescent="0.25">
      <c r="A48">
        <v>1</v>
      </c>
      <c r="B48" t="s">
        <v>158</v>
      </c>
      <c r="C48">
        <v>1</v>
      </c>
      <c r="D48">
        <v>2000000</v>
      </c>
      <c r="E48">
        <v>10</v>
      </c>
      <c r="F48">
        <v>5</v>
      </c>
      <c r="G48">
        <v>2.5</v>
      </c>
      <c r="H48">
        <v>1.1000000000000001</v>
      </c>
      <c r="I48">
        <f t="shared" ref="I48:I62" si="40">ROUND(0.1*$G$7^C48,2)</f>
        <v>0.16</v>
      </c>
      <c r="J48">
        <v>1000</v>
      </c>
      <c r="K48">
        <v>300</v>
      </c>
      <c r="L48">
        <f t="shared" ref="L48:L62" si="41">ROUND(D48/S48/R48,0)</f>
        <v>628</v>
      </c>
      <c r="M48">
        <f t="shared" ref="M48:M62" si="42">N48*H48</f>
        <v>4.8350993895328224E-5</v>
      </c>
      <c r="N48">
        <f t="shared" ref="N48:N62" si="43">R48*$G$2*K48</f>
        <v>4.3955448995752926E-5</v>
      </c>
      <c r="O48">
        <f t="shared" ref="O48:O62" si="44">ROUND(J48*(E48+F48)/U48/$O$45,0)</f>
        <v>1421</v>
      </c>
      <c r="P48">
        <f t="shared" ref="P48:P62" si="45">ROUND(IF(J48*G48&gt;0,J48*G48,J48/2)/U48/$O$45,0)</f>
        <v>237</v>
      </c>
      <c r="Q48">
        <f t="shared" ref="Q48:Q62" si="46">ROUND(L48/U48/$O$45,0)</f>
        <v>59</v>
      </c>
      <c r="R48">
        <f t="shared" ref="R48:R62" si="47">1/(SQRT(2)*PI()*($I$5^2)*I48*J48)</f>
        <v>1.0617258211534524E-4</v>
      </c>
      <c r="S48">
        <f t="shared" ref="S48:S62" si="48">J48/2*J48*E48+2*J48*J48*G48*F48</f>
        <v>30000000</v>
      </c>
      <c r="T48">
        <f t="shared" ref="T48:T62" si="49">$J$5*R48</f>
        <v>2.6811132119989932E-3</v>
      </c>
      <c r="U48">
        <f t="shared" ref="U48:U62" si="50">(1/R48)^(1/3)</f>
        <v>21.11847433325828</v>
      </c>
      <c r="V48">
        <f t="shared" si="39"/>
        <v>6.25</v>
      </c>
      <c r="W48">
        <f t="shared" ref="W48:W62" si="51">O48*P48*Q48</f>
        <v>19869843</v>
      </c>
      <c r="X48">
        <f t="shared" ref="X48:X62" si="52">1/2*(H48-1)*SQRT(PI()/2*8.31/$H$5*K48)/E48/I48</f>
        <v>10.931911578320415</v>
      </c>
      <c r="Y48">
        <f t="shared" ref="Y48:Y62" si="53">E48*J48/X48</f>
        <v>914.75309952483224</v>
      </c>
      <c r="Z48">
        <f t="shared" ref="Z48:Z62" si="54">V48*SQRT(PI())/4</f>
        <v>2.7694591420398686</v>
      </c>
      <c r="AA48">
        <v>1</v>
      </c>
      <c r="AB48">
        <v>117.40954544463401</v>
      </c>
      <c r="AC48">
        <v>30.409960000000002</v>
      </c>
      <c r="AD48">
        <v>577.78689999999995</v>
      </c>
      <c r="AE48">
        <v>9.2245908366224896E-3</v>
      </c>
      <c r="AF48">
        <v>3.16E-3</v>
      </c>
      <c r="AG48">
        <v>1294165904</v>
      </c>
      <c r="AH48">
        <f t="shared" ref="AH48:AH62" si="55">(AD48-AC48)/AF48/3600</f>
        <v>48.11681962025316</v>
      </c>
      <c r="AI48">
        <f t="shared" ref="AI48:AI62" si="56">AG48/1024/1024</f>
        <v>1234.2127838134766</v>
      </c>
      <c r="AJ48">
        <f t="shared" ref="AJ48:AJ62" si="57">AB48*$K$5/(0.5*(M48-N48)/E48*J48*SQRT(PI()/2/(8.31/$H$5)/K48))*2/L48</f>
        <v>2.0130490652834863</v>
      </c>
      <c r="AM48">
        <f t="shared" ref="AM48:AM62" si="58">AJ48*SQRT(PI())/2</f>
        <v>1.7840182839117322</v>
      </c>
      <c r="AY48">
        <f t="shared" si="38"/>
        <v>0.5</v>
      </c>
      <c r="AZ48">
        <v>1</v>
      </c>
      <c r="BA48">
        <v>1.27</v>
      </c>
    </row>
    <row r="49" spans="1:53" x14ac:dyDescent="0.25">
      <c r="A49">
        <v>2</v>
      </c>
      <c r="B49" t="s">
        <v>158</v>
      </c>
      <c r="C49">
        <v>2</v>
      </c>
      <c r="D49">
        <v>2000000</v>
      </c>
      <c r="E49">
        <v>10</v>
      </c>
      <c r="F49">
        <v>5</v>
      </c>
      <c r="G49">
        <v>2.5</v>
      </c>
      <c r="H49">
        <v>1.1000000000000001</v>
      </c>
      <c r="I49">
        <f t="shared" si="40"/>
        <v>0.26</v>
      </c>
      <c r="J49">
        <v>1000</v>
      </c>
      <c r="K49">
        <v>300</v>
      </c>
      <c r="L49">
        <f t="shared" si="41"/>
        <v>1020</v>
      </c>
      <c r="M49">
        <f t="shared" si="42"/>
        <v>2.9754457781740443E-5</v>
      </c>
      <c r="N49">
        <f t="shared" si="43"/>
        <v>2.7049507074309491E-5</v>
      </c>
      <c r="O49">
        <f t="shared" si="44"/>
        <v>1208</v>
      </c>
      <c r="P49">
        <f t="shared" si="45"/>
        <v>201</v>
      </c>
      <c r="Q49">
        <f t="shared" si="46"/>
        <v>82</v>
      </c>
      <c r="R49">
        <f t="shared" si="47"/>
        <v>6.5336973609443215E-5</v>
      </c>
      <c r="S49">
        <f t="shared" si="48"/>
        <v>30000000</v>
      </c>
      <c r="T49">
        <f t="shared" si="49"/>
        <v>1.6499158227686109E-3</v>
      </c>
      <c r="U49">
        <f t="shared" si="50"/>
        <v>24.828300625765337</v>
      </c>
      <c r="V49">
        <f t="shared" si="39"/>
        <v>3.8461538461538458</v>
      </c>
      <c r="W49">
        <f t="shared" si="51"/>
        <v>19910256</v>
      </c>
      <c r="X49">
        <f t="shared" si="52"/>
        <v>6.7273302020433317</v>
      </c>
      <c r="Y49">
        <f t="shared" si="53"/>
        <v>1486.4737867278525</v>
      </c>
      <c r="Z49">
        <f t="shared" si="54"/>
        <v>1.7042825489476112</v>
      </c>
      <c r="AA49">
        <v>2</v>
      </c>
      <c r="AB49">
        <v>101.16002495400301</v>
      </c>
      <c r="AC49">
        <v>38.50215</v>
      </c>
      <c r="AD49">
        <v>682.03549999999996</v>
      </c>
      <c r="AE49">
        <v>9.5436188388290898E-3</v>
      </c>
      <c r="AF49">
        <v>3.728E-3</v>
      </c>
      <c r="AG49">
        <v>1294459280</v>
      </c>
      <c r="AH49">
        <f t="shared" si="55"/>
        <v>47.950446322126844</v>
      </c>
      <c r="AI49">
        <f t="shared" si="56"/>
        <v>1234.4925689697266</v>
      </c>
      <c r="AJ49">
        <f t="shared" si="57"/>
        <v>1.7352926159578592</v>
      </c>
      <c r="AM49">
        <f t="shared" si="58"/>
        <v>1.537863039801207</v>
      </c>
      <c r="AY49">
        <f t="shared" si="38"/>
        <v>1</v>
      </c>
      <c r="AZ49">
        <v>2</v>
      </c>
      <c r="BA49">
        <v>1.36</v>
      </c>
    </row>
    <row r="50" spans="1:53" x14ac:dyDescent="0.25">
      <c r="A50">
        <v>3</v>
      </c>
      <c r="B50" t="s">
        <v>158</v>
      </c>
      <c r="C50">
        <v>3</v>
      </c>
      <c r="D50">
        <v>2000000</v>
      </c>
      <c r="E50">
        <v>10</v>
      </c>
      <c r="F50">
        <v>5</v>
      </c>
      <c r="G50">
        <v>2.5</v>
      </c>
      <c r="H50">
        <v>1.1000000000000001</v>
      </c>
      <c r="I50">
        <f t="shared" si="40"/>
        <v>0.41</v>
      </c>
      <c r="J50">
        <v>1000</v>
      </c>
      <c r="K50">
        <v>300</v>
      </c>
      <c r="L50">
        <f t="shared" si="41"/>
        <v>1609</v>
      </c>
      <c r="M50">
        <f t="shared" si="42"/>
        <v>1.8868680544518332E-5</v>
      </c>
      <c r="N50">
        <f t="shared" si="43"/>
        <v>1.7153345949562118E-5</v>
      </c>
      <c r="O50">
        <f t="shared" si="44"/>
        <v>1038</v>
      </c>
      <c r="P50">
        <f t="shared" si="45"/>
        <v>173</v>
      </c>
      <c r="Q50">
        <f t="shared" si="46"/>
        <v>111</v>
      </c>
      <c r="R50">
        <f t="shared" si="47"/>
        <v>4.1433202776720092E-5</v>
      </c>
      <c r="S50">
        <f t="shared" si="48"/>
        <v>30000000</v>
      </c>
      <c r="T50">
        <f t="shared" si="49"/>
        <v>1.0462880827313142E-3</v>
      </c>
      <c r="U50">
        <f t="shared" si="50"/>
        <v>28.899067641023038</v>
      </c>
      <c r="V50">
        <f t="shared" si="39"/>
        <v>2.4390243902439024</v>
      </c>
      <c r="W50">
        <f t="shared" si="51"/>
        <v>19932714</v>
      </c>
      <c r="X50">
        <f t="shared" si="52"/>
        <v>4.2661118354421133</v>
      </c>
      <c r="Y50">
        <f t="shared" si="53"/>
        <v>2344.0548175323825</v>
      </c>
      <c r="Z50">
        <f t="shared" si="54"/>
        <v>1.0807645432350705</v>
      </c>
      <c r="AA50">
        <v>3</v>
      </c>
      <c r="AB50">
        <v>86.967325508079</v>
      </c>
      <c r="AC50">
        <v>44.814770000000003</v>
      </c>
      <c r="AD50">
        <v>768.25120000000004</v>
      </c>
      <c r="AE50">
        <v>9.8156882317757994E-3</v>
      </c>
      <c r="AF50">
        <v>4.5830000000000003E-3</v>
      </c>
      <c r="AG50">
        <v>1294088048</v>
      </c>
      <c r="AH50">
        <f t="shared" si="55"/>
        <v>43.847821053652396</v>
      </c>
      <c r="AI50">
        <f t="shared" si="56"/>
        <v>1234.1385345458984</v>
      </c>
      <c r="AJ50">
        <f t="shared" si="57"/>
        <v>1.4913327043425777</v>
      </c>
      <c r="AM50">
        <f t="shared" si="58"/>
        <v>1.3216591973966696</v>
      </c>
      <c r="AY50">
        <f t="shared" si="38"/>
        <v>2</v>
      </c>
      <c r="AZ50">
        <v>4</v>
      </c>
      <c r="BA50">
        <v>1.61</v>
      </c>
    </row>
    <row r="51" spans="1:53" x14ac:dyDescent="0.25">
      <c r="A51">
        <v>4</v>
      </c>
      <c r="B51" t="s">
        <v>158</v>
      </c>
      <c r="C51">
        <v>4</v>
      </c>
      <c r="D51">
        <v>2000000</v>
      </c>
      <c r="E51">
        <v>10</v>
      </c>
      <c r="F51">
        <v>5</v>
      </c>
      <c r="G51">
        <v>2.5</v>
      </c>
      <c r="H51">
        <v>1.1000000000000001</v>
      </c>
      <c r="I51">
        <f t="shared" si="40"/>
        <v>0.66</v>
      </c>
      <c r="J51">
        <v>1000</v>
      </c>
      <c r="K51">
        <v>300</v>
      </c>
      <c r="L51">
        <f t="shared" si="41"/>
        <v>2590</v>
      </c>
      <c r="M51">
        <f t="shared" si="42"/>
        <v>1.1721453065534115E-5</v>
      </c>
      <c r="N51">
        <f t="shared" si="43"/>
        <v>1.065586642321283E-5</v>
      </c>
      <c r="O51">
        <f t="shared" si="44"/>
        <v>886</v>
      </c>
      <c r="P51">
        <f t="shared" si="45"/>
        <v>148</v>
      </c>
      <c r="Q51">
        <f t="shared" si="46"/>
        <v>153</v>
      </c>
      <c r="R51">
        <f t="shared" si="47"/>
        <v>2.5738807785538237E-5</v>
      </c>
      <c r="S51">
        <f t="shared" si="48"/>
        <v>30000000</v>
      </c>
      <c r="T51">
        <f t="shared" si="49"/>
        <v>6.4996683927248308E-4</v>
      </c>
      <c r="U51">
        <f t="shared" si="50"/>
        <v>33.869115710530828</v>
      </c>
      <c r="V51">
        <f t="shared" si="39"/>
        <v>1.5151515151515151</v>
      </c>
      <c r="W51">
        <f t="shared" si="51"/>
        <v>20062584</v>
      </c>
      <c r="X51">
        <f t="shared" si="52"/>
        <v>2.6501603826231306</v>
      </c>
      <c r="Y51">
        <f t="shared" si="53"/>
        <v>3773.3565355399332</v>
      </c>
      <c r="Z51">
        <f t="shared" si="54"/>
        <v>0.67138403443390748</v>
      </c>
      <c r="AA51">
        <v>4</v>
      </c>
      <c r="AB51">
        <v>82.997799929453194</v>
      </c>
      <c r="AC51">
        <v>48.77046</v>
      </c>
      <c r="AD51">
        <v>904.12620000000004</v>
      </c>
      <c r="AE51">
        <v>8.9446455564358308E-3</v>
      </c>
      <c r="AF51">
        <v>5.0699999999999999E-3</v>
      </c>
      <c r="AG51">
        <v>1296632384</v>
      </c>
      <c r="AH51">
        <f t="shared" si="55"/>
        <v>46.863671926364241</v>
      </c>
      <c r="AI51">
        <f t="shared" si="56"/>
        <v>1236.5650024414063</v>
      </c>
      <c r="AJ51">
        <f t="shared" si="57"/>
        <v>1.4233161153985581</v>
      </c>
      <c r="AM51">
        <f t="shared" si="58"/>
        <v>1.2613810648970269</v>
      </c>
      <c r="AY51">
        <f t="shared" si="38"/>
        <v>4</v>
      </c>
      <c r="AZ51">
        <v>8</v>
      </c>
      <c r="BA51">
        <v>2.13</v>
      </c>
    </row>
    <row r="52" spans="1:53" x14ac:dyDescent="0.25">
      <c r="A52">
        <v>5</v>
      </c>
      <c r="B52" t="s">
        <v>158</v>
      </c>
      <c r="C52">
        <v>5</v>
      </c>
      <c r="D52">
        <v>2000000</v>
      </c>
      <c r="E52">
        <v>10</v>
      </c>
      <c r="F52">
        <v>5</v>
      </c>
      <c r="G52">
        <v>2.5</v>
      </c>
      <c r="H52">
        <v>1.1000000000000001</v>
      </c>
      <c r="I52">
        <f t="shared" si="40"/>
        <v>1.05</v>
      </c>
      <c r="J52">
        <v>1000</v>
      </c>
      <c r="K52">
        <v>300</v>
      </c>
      <c r="L52">
        <f t="shared" si="41"/>
        <v>4121</v>
      </c>
      <c r="M52">
        <f t="shared" si="42"/>
        <v>7.3677704983357286E-6</v>
      </c>
      <c r="N52">
        <f t="shared" si="43"/>
        <v>6.6979731803052069E-6</v>
      </c>
      <c r="O52">
        <f t="shared" si="44"/>
        <v>759</v>
      </c>
      <c r="P52">
        <f t="shared" si="45"/>
        <v>126</v>
      </c>
      <c r="Q52">
        <f t="shared" si="46"/>
        <v>208</v>
      </c>
      <c r="R52">
        <f t="shared" si="47"/>
        <v>1.6178679179481176E-5</v>
      </c>
      <c r="S52">
        <f t="shared" si="48"/>
        <v>30000000</v>
      </c>
      <c r="T52">
        <f t="shared" si="49"/>
        <v>4.0855058468556075E-4</v>
      </c>
      <c r="U52">
        <f t="shared" si="50"/>
        <v>39.538389823630183</v>
      </c>
      <c r="V52">
        <f t="shared" si="39"/>
        <v>0.95238095238095233</v>
      </c>
      <c r="W52">
        <f t="shared" si="51"/>
        <v>19891872</v>
      </c>
      <c r="X52">
        <f t="shared" si="52"/>
        <v>1.6658150976488251</v>
      </c>
      <c r="Y52">
        <f t="shared" si="53"/>
        <v>6003.0672156317114</v>
      </c>
      <c r="Z52">
        <f t="shared" si="54"/>
        <v>0.42201282164417042</v>
      </c>
      <c r="AA52">
        <v>5</v>
      </c>
      <c r="AB52">
        <v>81.347988663619702</v>
      </c>
      <c r="AC52">
        <v>59.123800000000003</v>
      </c>
      <c r="AD52">
        <v>1040.1369999999999</v>
      </c>
      <c r="AE52">
        <v>9.3350038365510399E-3</v>
      </c>
      <c r="AF52">
        <v>5.947E-3</v>
      </c>
      <c r="AG52">
        <v>1292343104</v>
      </c>
      <c r="AH52">
        <f t="shared" si="55"/>
        <v>45.822039123367517</v>
      </c>
      <c r="AI52">
        <f t="shared" si="56"/>
        <v>1232.4744262695313</v>
      </c>
      <c r="AJ52">
        <f t="shared" si="57"/>
        <v>1.3948391185027207</v>
      </c>
      <c r="AM52">
        <f t="shared" si="58"/>
        <v>1.2361439834919012</v>
      </c>
      <c r="AY52">
        <f t="shared" si="38"/>
        <v>5</v>
      </c>
      <c r="AZ52">
        <v>10</v>
      </c>
      <c r="BA52">
        <v>2.44</v>
      </c>
    </row>
    <row r="53" spans="1:53" x14ac:dyDescent="0.25">
      <c r="A53">
        <v>6</v>
      </c>
      <c r="B53" t="s">
        <v>158</v>
      </c>
      <c r="C53">
        <v>6</v>
      </c>
      <c r="D53">
        <v>2000000</v>
      </c>
      <c r="E53">
        <v>10</v>
      </c>
      <c r="F53">
        <v>5</v>
      </c>
      <c r="G53">
        <v>2.5</v>
      </c>
      <c r="H53">
        <v>1.1000000000000001</v>
      </c>
      <c r="I53">
        <f t="shared" si="40"/>
        <v>1.68</v>
      </c>
      <c r="J53">
        <v>1000</v>
      </c>
      <c r="K53">
        <v>300</v>
      </c>
      <c r="L53">
        <f t="shared" si="41"/>
        <v>6593</v>
      </c>
      <c r="M53">
        <f t="shared" si="42"/>
        <v>4.6048565614598305E-6</v>
      </c>
      <c r="N53">
        <f t="shared" si="43"/>
        <v>4.1862332376907545E-6</v>
      </c>
      <c r="O53">
        <f t="shared" si="44"/>
        <v>649</v>
      </c>
      <c r="P53">
        <f t="shared" si="45"/>
        <v>108</v>
      </c>
      <c r="Q53">
        <f t="shared" si="46"/>
        <v>285</v>
      </c>
      <c r="R53">
        <f t="shared" si="47"/>
        <v>1.0111674487175737E-5</v>
      </c>
      <c r="S53">
        <f t="shared" si="48"/>
        <v>30000000</v>
      </c>
      <c r="T53">
        <f t="shared" si="49"/>
        <v>2.5534411542847555E-4</v>
      </c>
      <c r="U53">
        <f t="shared" si="50"/>
        <v>46.24438127386788</v>
      </c>
      <c r="V53">
        <f t="shared" si="39"/>
        <v>0.59523809523809523</v>
      </c>
      <c r="W53">
        <f t="shared" si="51"/>
        <v>19976220</v>
      </c>
      <c r="X53">
        <f t="shared" si="52"/>
        <v>1.0411344360305157</v>
      </c>
      <c r="Y53">
        <f t="shared" si="53"/>
        <v>9604.9075450107375</v>
      </c>
      <c r="Z53">
        <f t="shared" si="54"/>
        <v>0.26375801352760653</v>
      </c>
      <c r="AA53">
        <v>6</v>
      </c>
      <c r="AB53">
        <v>81.234308864716596</v>
      </c>
      <c r="AC53">
        <v>66.590450000000004</v>
      </c>
      <c r="AD53">
        <v>1213.991</v>
      </c>
      <c r="AE53">
        <v>7.48217673742607E-3</v>
      </c>
      <c r="AF53">
        <v>7.1149999999999998E-3</v>
      </c>
      <c r="AG53">
        <v>1293642872</v>
      </c>
      <c r="AH53">
        <f t="shared" si="55"/>
        <v>44.795836261419545</v>
      </c>
      <c r="AI53">
        <f t="shared" si="56"/>
        <v>1233.713981628418</v>
      </c>
      <c r="AJ53">
        <f t="shared" si="57"/>
        <v>1.3930166604802463</v>
      </c>
      <c r="AM53">
        <f t="shared" si="58"/>
        <v>1.234528872121877</v>
      </c>
    </row>
    <row r="54" spans="1:53" x14ac:dyDescent="0.25">
      <c r="A54">
        <v>7</v>
      </c>
      <c r="B54" t="s">
        <v>158</v>
      </c>
      <c r="C54">
        <v>7</v>
      </c>
      <c r="D54">
        <v>2000000</v>
      </c>
      <c r="E54">
        <v>10</v>
      </c>
      <c r="F54">
        <v>5</v>
      </c>
      <c r="G54">
        <v>2.5</v>
      </c>
      <c r="H54">
        <v>1.1000000000000001</v>
      </c>
      <c r="I54">
        <f t="shared" si="40"/>
        <v>2.68</v>
      </c>
      <c r="J54">
        <v>1000</v>
      </c>
      <c r="K54">
        <v>300</v>
      </c>
      <c r="L54">
        <f t="shared" si="41"/>
        <v>10517</v>
      </c>
      <c r="M54">
        <f t="shared" si="42"/>
        <v>2.8866265012136254E-6</v>
      </c>
      <c r="N54">
        <f t="shared" si="43"/>
        <v>2.6242059101942046E-6</v>
      </c>
      <c r="O54">
        <f t="shared" si="44"/>
        <v>555</v>
      </c>
      <c r="P54">
        <f t="shared" si="45"/>
        <v>93</v>
      </c>
      <c r="Q54">
        <f t="shared" si="46"/>
        <v>389</v>
      </c>
      <c r="R54">
        <f t="shared" si="47"/>
        <v>6.3386616188265816E-6</v>
      </c>
      <c r="S54">
        <f t="shared" si="48"/>
        <v>30000000</v>
      </c>
      <c r="T54">
        <f t="shared" si="49"/>
        <v>1.6006646041785032E-4</v>
      </c>
      <c r="U54">
        <f t="shared" si="50"/>
        <v>54.034044645621385</v>
      </c>
      <c r="V54">
        <f t="shared" si="39"/>
        <v>0.37313432835820892</v>
      </c>
      <c r="W54">
        <f t="shared" si="51"/>
        <v>20078235</v>
      </c>
      <c r="X54">
        <f t="shared" si="52"/>
        <v>0.65265143751166654</v>
      </c>
      <c r="Y54">
        <f t="shared" si="53"/>
        <v>15322.114417040941</v>
      </c>
      <c r="Z54">
        <f t="shared" si="54"/>
        <v>0.16534084430088766</v>
      </c>
      <c r="AA54">
        <v>7</v>
      </c>
      <c r="AB54">
        <v>82.629650925045695</v>
      </c>
      <c r="AC54">
        <v>77.807259999999999</v>
      </c>
      <c r="AD54">
        <v>1418.482</v>
      </c>
      <c r="AE54">
        <v>6.5327616825031701E-3</v>
      </c>
      <c r="AF54">
        <v>8.3370000000000007E-3</v>
      </c>
      <c r="AG54">
        <v>1295791016</v>
      </c>
      <c r="AH54">
        <f t="shared" si="55"/>
        <v>44.669503418495857</v>
      </c>
      <c r="AI54">
        <f t="shared" si="56"/>
        <v>1235.7626113891602</v>
      </c>
      <c r="AJ54">
        <f t="shared" si="57"/>
        <v>1.4169987036117642</v>
      </c>
      <c r="AM54">
        <f t="shared" si="58"/>
        <v>1.2557824044723975</v>
      </c>
    </row>
    <row r="55" spans="1:53" x14ac:dyDescent="0.25">
      <c r="A55">
        <v>8</v>
      </c>
      <c r="B55" t="s">
        <v>158</v>
      </c>
      <c r="C55">
        <v>8</v>
      </c>
      <c r="D55">
        <v>2000000</v>
      </c>
      <c r="E55">
        <v>10</v>
      </c>
      <c r="F55">
        <v>5</v>
      </c>
      <c r="G55">
        <v>2.5</v>
      </c>
      <c r="H55">
        <v>1.1000000000000001</v>
      </c>
      <c r="I55">
        <f t="shared" si="40"/>
        <v>4.29</v>
      </c>
      <c r="J55">
        <v>1000</v>
      </c>
      <c r="K55">
        <v>300</v>
      </c>
      <c r="L55">
        <f t="shared" si="41"/>
        <v>16836</v>
      </c>
      <c r="M55">
        <f t="shared" si="42"/>
        <v>1.8033004716206328E-6</v>
      </c>
      <c r="N55">
        <f t="shared" si="43"/>
        <v>1.6393640651096661E-6</v>
      </c>
      <c r="O55">
        <f t="shared" si="44"/>
        <v>475</v>
      </c>
      <c r="P55">
        <f t="shared" si="45"/>
        <v>79</v>
      </c>
      <c r="Q55">
        <f t="shared" si="46"/>
        <v>533</v>
      </c>
      <c r="R55">
        <f t="shared" si="47"/>
        <v>3.9598165823904983E-6</v>
      </c>
      <c r="S55">
        <f t="shared" si="48"/>
        <v>30000000</v>
      </c>
      <c r="T55">
        <f t="shared" si="49"/>
        <v>9.999489834961279E-5</v>
      </c>
      <c r="U55">
        <f t="shared" si="50"/>
        <v>63.208426130545355</v>
      </c>
      <c r="V55">
        <f t="shared" si="39"/>
        <v>0.23310023310023309</v>
      </c>
      <c r="W55">
        <f t="shared" si="51"/>
        <v>20000825</v>
      </c>
      <c r="X55">
        <f t="shared" si="52"/>
        <v>0.40771698194202011</v>
      </c>
      <c r="Y55">
        <f t="shared" si="53"/>
        <v>24526.817481009566</v>
      </c>
      <c r="Z55">
        <f t="shared" si="54"/>
        <v>0.10328985145137039</v>
      </c>
      <c r="AA55">
        <v>8</v>
      </c>
      <c r="AB55">
        <v>84.5217844139693</v>
      </c>
      <c r="AC55">
        <v>91.018209999999996</v>
      </c>
      <c r="AD55">
        <v>1729.3389999999999</v>
      </c>
      <c r="AE55">
        <v>5.8621602633869398E-3</v>
      </c>
      <c r="AF55">
        <v>9.6069999999999992E-3</v>
      </c>
      <c r="AG55">
        <v>1293128376</v>
      </c>
      <c r="AH55">
        <f t="shared" si="55"/>
        <v>47.370574407550052</v>
      </c>
      <c r="AI55">
        <f t="shared" si="56"/>
        <v>1233.2233200073242</v>
      </c>
      <c r="AJ55">
        <f t="shared" si="57"/>
        <v>1.4493645914210778</v>
      </c>
      <c r="AM55">
        <f t="shared" si="58"/>
        <v>1.2844659257151945</v>
      </c>
    </row>
    <row r="56" spans="1:53" x14ac:dyDescent="0.25">
      <c r="A56">
        <v>9</v>
      </c>
      <c r="B56" t="s">
        <v>158</v>
      </c>
      <c r="C56">
        <v>9</v>
      </c>
      <c r="D56">
        <v>2000000</v>
      </c>
      <c r="E56">
        <v>10</v>
      </c>
      <c r="F56">
        <v>5</v>
      </c>
      <c r="G56">
        <v>2.5</v>
      </c>
      <c r="H56">
        <v>1.1000000000000001</v>
      </c>
      <c r="I56">
        <f t="shared" si="40"/>
        <v>6.87</v>
      </c>
      <c r="J56">
        <v>1000</v>
      </c>
      <c r="K56">
        <v>300</v>
      </c>
      <c r="L56">
        <f t="shared" si="41"/>
        <v>26961</v>
      </c>
      <c r="M56">
        <f t="shared" si="42"/>
        <v>1.1260784604443254E-6</v>
      </c>
      <c r="N56">
        <f t="shared" si="43"/>
        <v>1.023707691313023E-6</v>
      </c>
      <c r="O56">
        <f t="shared" si="44"/>
        <v>406</v>
      </c>
      <c r="P56">
        <f t="shared" si="45"/>
        <v>68</v>
      </c>
      <c r="Q56">
        <f t="shared" si="46"/>
        <v>729</v>
      </c>
      <c r="R56">
        <f t="shared" si="47"/>
        <v>2.4727238920604421E-6</v>
      </c>
      <c r="S56">
        <f t="shared" si="48"/>
        <v>30000000</v>
      </c>
      <c r="T56">
        <f t="shared" si="49"/>
        <v>6.2442229100413224E-5</v>
      </c>
      <c r="U56">
        <f t="shared" si="50"/>
        <v>73.950558501414548</v>
      </c>
      <c r="V56">
        <f t="shared" si="39"/>
        <v>0.14556040756914118</v>
      </c>
      <c r="W56">
        <f t="shared" si="51"/>
        <v>20126232</v>
      </c>
      <c r="X56">
        <f t="shared" si="52"/>
        <v>0.25460056077602128</v>
      </c>
      <c r="Y56">
        <f t="shared" si="53"/>
        <v>39277.21121084749</v>
      </c>
      <c r="Z56">
        <f t="shared" si="54"/>
        <v>6.4499776233825176E-2</v>
      </c>
      <c r="AA56">
        <v>9</v>
      </c>
      <c r="AB56">
        <v>83.7025964706868</v>
      </c>
      <c r="AC56">
        <v>106.48650000000001</v>
      </c>
      <c r="AD56">
        <v>2056.0010000000002</v>
      </c>
      <c r="AE56">
        <v>4.93347371822576E-3</v>
      </c>
      <c r="AF56">
        <v>1.1219E-2</v>
      </c>
      <c r="AG56">
        <v>1296361248</v>
      </c>
      <c r="AH56">
        <f t="shared" si="55"/>
        <v>48.269168870269688</v>
      </c>
      <c r="AI56">
        <f t="shared" si="56"/>
        <v>1236.3064270019531</v>
      </c>
      <c r="AJ56">
        <f t="shared" si="57"/>
        <v>1.4353251196284722</v>
      </c>
      <c r="AM56">
        <f t="shared" si="58"/>
        <v>1.2720237677934529</v>
      </c>
    </row>
    <row r="57" spans="1:53" x14ac:dyDescent="0.25">
      <c r="A57">
        <v>10</v>
      </c>
      <c r="B57" t="s">
        <v>158</v>
      </c>
      <c r="C57">
        <v>10</v>
      </c>
      <c r="D57">
        <v>2000000</v>
      </c>
      <c r="E57">
        <v>10</v>
      </c>
      <c r="F57">
        <v>5</v>
      </c>
      <c r="G57">
        <v>2.5</v>
      </c>
      <c r="H57">
        <v>1.1000000000000001</v>
      </c>
      <c r="I57">
        <f t="shared" si="40"/>
        <v>11</v>
      </c>
      <c r="J57">
        <v>1000</v>
      </c>
      <c r="K57">
        <v>300</v>
      </c>
      <c r="L57">
        <f t="shared" si="41"/>
        <v>43169</v>
      </c>
      <c r="M57">
        <f t="shared" si="42"/>
        <v>7.0328718393204678E-7</v>
      </c>
      <c r="N57">
        <f t="shared" si="43"/>
        <v>6.3935198539276978E-7</v>
      </c>
      <c r="O57">
        <f t="shared" si="44"/>
        <v>347</v>
      </c>
      <c r="P57">
        <f t="shared" si="45"/>
        <v>58</v>
      </c>
      <c r="Q57">
        <f t="shared" si="46"/>
        <v>998</v>
      </c>
      <c r="R57">
        <f t="shared" si="47"/>
        <v>1.5443284671322943E-6</v>
      </c>
      <c r="S57">
        <f t="shared" si="48"/>
        <v>30000000</v>
      </c>
      <c r="T57">
        <f t="shared" si="49"/>
        <v>3.8998010356348986E-5</v>
      </c>
      <c r="U57">
        <f t="shared" si="50"/>
        <v>86.514076119361533</v>
      </c>
      <c r="V57">
        <f t="shared" si="39"/>
        <v>9.0909090909090912E-2</v>
      </c>
      <c r="W57">
        <f t="shared" si="51"/>
        <v>20085748</v>
      </c>
      <c r="X57">
        <f t="shared" si="52"/>
        <v>0.15900962295738785</v>
      </c>
      <c r="Y57">
        <f t="shared" si="53"/>
        <v>62889.275592332211</v>
      </c>
      <c r="Z57">
        <f t="shared" si="54"/>
        <v>4.0283042066034454E-2</v>
      </c>
      <c r="AA57">
        <v>10</v>
      </c>
      <c r="AB57">
        <v>85.937394073253799</v>
      </c>
      <c r="AC57">
        <v>134.16040000000001</v>
      </c>
      <c r="AD57">
        <v>2376.5479999999998</v>
      </c>
      <c r="AE57">
        <v>4.6051359282158902E-3</v>
      </c>
      <c r="AF57">
        <v>1.3343000000000001E-2</v>
      </c>
      <c r="AG57">
        <v>1294815072</v>
      </c>
      <c r="AH57">
        <f t="shared" si="55"/>
        <v>46.682563474814081</v>
      </c>
      <c r="AI57">
        <f t="shared" si="56"/>
        <v>1234.8318786621094</v>
      </c>
      <c r="AJ57">
        <f t="shared" si="57"/>
        <v>1.4736470928297163</v>
      </c>
      <c r="AM57">
        <f t="shared" si="58"/>
        <v>1.3059857322808743</v>
      </c>
    </row>
    <row r="58" spans="1:53" x14ac:dyDescent="0.25">
      <c r="A58">
        <v>11</v>
      </c>
      <c r="B58" t="s">
        <v>158</v>
      </c>
      <c r="C58">
        <v>11</v>
      </c>
      <c r="D58">
        <v>2000000</v>
      </c>
      <c r="E58">
        <v>10</v>
      </c>
      <c r="F58">
        <v>5</v>
      </c>
      <c r="G58">
        <v>2.5</v>
      </c>
      <c r="H58">
        <v>1.1000000000000001</v>
      </c>
      <c r="I58">
        <f t="shared" si="40"/>
        <v>17.59</v>
      </c>
      <c r="J58">
        <v>1000</v>
      </c>
      <c r="K58">
        <v>300</v>
      </c>
      <c r="L58">
        <f t="shared" si="41"/>
        <v>69031</v>
      </c>
      <c r="M58">
        <f t="shared" si="42"/>
        <v>4.3980437880912532E-7</v>
      </c>
      <c r="N58">
        <f t="shared" si="43"/>
        <v>3.9982216255375027E-7</v>
      </c>
      <c r="O58">
        <f t="shared" si="44"/>
        <v>297</v>
      </c>
      <c r="P58">
        <f t="shared" si="45"/>
        <v>49</v>
      </c>
      <c r="Q58">
        <f t="shared" si="46"/>
        <v>1365</v>
      </c>
      <c r="R58">
        <f t="shared" si="47"/>
        <v>9.6575401583031472E-7</v>
      </c>
      <c r="S58">
        <f t="shared" si="48"/>
        <v>30000000</v>
      </c>
      <c r="T58">
        <f t="shared" si="49"/>
        <v>2.438761307105394E-5</v>
      </c>
      <c r="U58">
        <f t="shared" si="50"/>
        <v>101.16830934555924</v>
      </c>
      <c r="V58">
        <f t="shared" si="39"/>
        <v>5.6850483229107449E-2</v>
      </c>
      <c r="W58">
        <f t="shared" si="51"/>
        <v>19864845</v>
      </c>
      <c r="X58">
        <f t="shared" si="52"/>
        <v>9.9437512935262443E-2</v>
      </c>
      <c r="Y58">
        <f t="shared" si="53"/>
        <v>100565.66887901124</v>
      </c>
      <c r="Z58">
        <f t="shared" si="54"/>
        <v>2.5191214481317736E-2</v>
      </c>
      <c r="AA58">
        <v>11</v>
      </c>
      <c r="AB58">
        <v>85.409690609880798</v>
      </c>
      <c r="AC58">
        <v>145.67930000000001</v>
      </c>
      <c r="AD58">
        <v>2790.3069999999998</v>
      </c>
      <c r="AE58">
        <v>4.2094150641355703E-3</v>
      </c>
      <c r="AF58">
        <v>1.6591999999999999E-2</v>
      </c>
      <c r="AG58">
        <v>1289678040</v>
      </c>
      <c r="AH58">
        <f t="shared" si="55"/>
        <v>44.275482494910541</v>
      </c>
      <c r="AI58">
        <f t="shared" si="56"/>
        <v>1229.9328231811523</v>
      </c>
      <c r="AJ58">
        <f t="shared" si="57"/>
        <v>1.4646013771215878</v>
      </c>
      <c r="AM58">
        <f t="shared" si="58"/>
        <v>1.29796917546034</v>
      </c>
    </row>
    <row r="59" spans="1:53" x14ac:dyDescent="0.25">
      <c r="A59">
        <v>12</v>
      </c>
      <c r="B59" t="s">
        <v>158</v>
      </c>
      <c r="C59">
        <v>12</v>
      </c>
      <c r="D59">
        <v>2000000</v>
      </c>
      <c r="E59">
        <v>10</v>
      </c>
      <c r="F59">
        <v>5</v>
      </c>
      <c r="G59">
        <v>2.5</v>
      </c>
      <c r="H59">
        <v>1.1000000000000001</v>
      </c>
      <c r="I59">
        <f t="shared" si="40"/>
        <v>28.15</v>
      </c>
      <c r="J59">
        <v>1000</v>
      </c>
      <c r="K59">
        <v>300</v>
      </c>
      <c r="L59">
        <f t="shared" si="41"/>
        <v>110473</v>
      </c>
      <c r="M59">
        <f t="shared" si="42"/>
        <v>2.7481914825053339E-7</v>
      </c>
      <c r="N59">
        <f t="shared" si="43"/>
        <v>2.4983558931866672E-7</v>
      </c>
      <c r="O59">
        <f t="shared" si="44"/>
        <v>254</v>
      </c>
      <c r="P59">
        <f t="shared" si="45"/>
        <v>42</v>
      </c>
      <c r="Q59">
        <f t="shared" si="46"/>
        <v>1867</v>
      </c>
      <c r="R59">
        <f t="shared" si="47"/>
        <v>6.0346760704991961E-7</v>
      </c>
      <c r="S59">
        <f t="shared" si="48"/>
        <v>30000000</v>
      </c>
      <c r="T59">
        <f t="shared" si="49"/>
        <v>1.523900937548273E-5</v>
      </c>
      <c r="U59">
        <f t="shared" si="50"/>
        <v>118.33558052725597</v>
      </c>
      <c r="V59">
        <f t="shared" si="39"/>
        <v>3.5523978685612793E-2</v>
      </c>
      <c r="W59">
        <f t="shared" si="51"/>
        <v>19917156</v>
      </c>
      <c r="X59">
        <f t="shared" si="52"/>
        <v>6.2135199024201296E-2</v>
      </c>
      <c r="Y59">
        <f t="shared" si="53"/>
        <v>160939.37344765017</v>
      </c>
      <c r="Z59">
        <f t="shared" si="54"/>
        <v>1.5741153205199965E-2</v>
      </c>
      <c r="AA59">
        <v>12</v>
      </c>
      <c r="AB59">
        <v>87.152546428810794</v>
      </c>
      <c r="AC59">
        <v>183.50710000000001</v>
      </c>
      <c r="AD59">
        <v>3276.9029999999998</v>
      </c>
      <c r="AE59">
        <v>3.7908625253677999E-3</v>
      </c>
      <c r="AF59">
        <v>1.8159999999999999E-2</v>
      </c>
      <c r="AG59">
        <v>1290647904</v>
      </c>
      <c r="AH59">
        <f t="shared" si="55"/>
        <v>47.316995533529123</v>
      </c>
      <c r="AI59">
        <f t="shared" si="56"/>
        <v>1230.8577575683594</v>
      </c>
      <c r="AJ59">
        <f t="shared" si="57"/>
        <v>1.4944897713543859</v>
      </c>
      <c r="AM59">
        <f t="shared" si="58"/>
        <v>1.3244570751879925</v>
      </c>
    </row>
    <row r="60" spans="1:53" x14ac:dyDescent="0.25">
      <c r="A60">
        <v>13</v>
      </c>
      <c r="B60" t="s">
        <v>158</v>
      </c>
      <c r="C60">
        <v>13</v>
      </c>
      <c r="D60">
        <v>2000000</v>
      </c>
      <c r="E60">
        <v>10</v>
      </c>
      <c r="F60">
        <v>5</v>
      </c>
      <c r="G60">
        <v>2.5</v>
      </c>
      <c r="H60">
        <v>1.1000000000000001</v>
      </c>
      <c r="I60">
        <f t="shared" si="40"/>
        <v>45.04</v>
      </c>
      <c r="J60">
        <v>1000</v>
      </c>
      <c r="K60">
        <v>300</v>
      </c>
      <c r="L60">
        <f t="shared" si="41"/>
        <v>176756</v>
      </c>
      <c r="M60">
        <f t="shared" si="42"/>
        <v>1.7176196765658337E-7</v>
      </c>
      <c r="N60">
        <f t="shared" si="43"/>
        <v>1.5614724332416669E-7</v>
      </c>
      <c r="O60">
        <f t="shared" si="44"/>
        <v>217</v>
      </c>
      <c r="P60">
        <f t="shared" si="45"/>
        <v>36</v>
      </c>
      <c r="Q60">
        <f t="shared" si="46"/>
        <v>2554</v>
      </c>
      <c r="R60">
        <f t="shared" si="47"/>
        <v>3.7716725440619976E-7</v>
      </c>
      <c r="S60">
        <f t="shared" si="48"/>
        <v>30000000</v>
      </c>
      <c r="T60">
        <f t="shared" si="49"/>
        <v>9.5243808596767064E-6</v>
      </c>
      <c r="U60">
        <f t="shared" si="50"/>
        <v>138.40613460936547</v>
      </c>
      <c r="V60">
        <f t="shared" si="39"/>
        <v>2.2202486678507993E-2</v>
      </c>
      <c r="W60">
        <f t="shared" si="51"/>
        <v>19951848</v>
      </c>
      <c r="X60">
        <f t="shared" si="52"/>
        <v>3.8834499390125808E-2</v>
      </c>
      <c r="Y60">
        <f t="shared" si="53"/>
        <v>257502.99751624026</v>
      </c>
      <c r="Z60">
        <f t="shared" si="54"/>
        <v>9.838220753249978E-3</v>
      </c>
      <c r="AA60">
        <v>13</v>
      </c>
      <c r="AB60">
        <v>89.195379936967598</v>
      </c>
      <c r="AC60">
        <v>214.63120000000001</v>
      </c>
      <c r="AD60">
        <v>3802.027</v>
      </c>
      <c r="AE60">
        <v>3.4401281418781401E-3</v>
      </c>
      <c r="AF60">
        <v>2.2542E-2</v>
      </c>
      <c r="AG60">
        <v>1291690176</v>
      </c>
      <c r="AH60">
        <f t="shared" si="55"/>
        <v>44.206318575695747</v>
      </c>
      <c r="AI60">
        <f t="shared" si="56"/>
        <v>1231.8517456054688</v>
      </c>
      <c r="AJ60">
        <f t="shared" si="57"/>
        <v>1.5295271538793684</v>
      </c>
      <c r="AM60">
        <f t="shared" si="58"/>
        <v>1.35550814697902</v>
      </c>
    </row>
    <row r="61" spans="1:53" x14ac:dyDescent="0.25">
      <c r="A61">
        <v>14</v>
      </c>
      <c r="B61" t="s">
        <v>158</v>
      </c>
      <c r="C61">
        <v>14</v>
      </c>
      <c r="D61">
        <v>2000000</v>
      </c>
      <c r="E61">
        <v>10</v>
      </c>
      <c r="F61">
        <v>5</v>
      </c>
      <c r="G61">
        <v>2.5</v>
      </c>
      <c r="H61">
        <v>1.1000000000000001</v>
      </c>
      <c r="I61">
        <f t="shared" si="40"/>
        <v>72.06</v>
      </c>
      <c r="J61">
        <v>1000</v>
      </c>
      <c r="K61">
        <v>300</v>
      </c>
      <c r="L61">
        <f t="shared" si="41"/>
        <v>282794</v>
      </c>
      <c r="M61">
        <f t="shared" si="42"/>
        <v>1.0735718877674873E-7</v>
      </c>
      <c r="N61">
        <f t="shared" si="43"/>
        <v>9.7597444342498837E-8</v>
      </c>
      <c r="O61">
        <f t="shared" si="44"/>
        <v>185</v>
      </c>
      <c r="P61">
        <f t="shared" si="45"/>
        <v>31</v>
      </c>
      <c r="Q61">
        <f t="shared" si="46"/>
        <v>3494</v>
      </c>
      <c r="R61">
        <f t="shared" si="47"/>
        <v>2.3574261918477983E-7</v>
      </c>
      <c r="S61">
        <f t="shared" si="48"/>
        <v>30000000</v>
      </c>
      <c r="T61">
        <f t="shared" si="49"/>
        <v>5.9530684696064219E-6</v>
      </c>
      <c r="U61">
        <f t="shared" si="50"/>
        <v>161.87780188448673</v>
      </c>
      <c r="V61">
        <f t="shared" si="39"/>
        <v>1.3877324451845684E-2</v>
      </c>
      <c r="W61">
        <f t="shared" si="51"/>
        <v>20038090</v>
      </c>
      <c r="X61">
        <f t="shared" si="52"/>
        <v>2.4272909416198533E-2</v>
      </c>
      <c r="Y61">
        <f t="shared" si="53"/>
        <v>411981.92719849636</v>
      </c>
      <c r="Z61">
        <f t="shared" si="54"/>
        <v>6.1492292912347897E-3</v>
      </c>
      <c r="AA61">
        <v>14</v>
      </c>
      <c r="AB61">
        <v>88.670442444633693</v>
      </c>
      <c r="AC61">
        <v>251.02950000000001</v>
      </c>
      <c r="AD61">
        <v>4410.9340000000002</v>
      </c>
      <c r="AE61">
        <v>2.75938577482115E-3</v>
      </c>
      <c r="AF61">
        <v>2.5669999999999998E-2</v>
      </c>
      <c r="AG61">
        <v>1293460944</v>
      </c>
      <c r="AH61">
        <f t="shared" si="55"/>
        <v>45.014765398433113</v>
      </c>
      <c r="AI61">
        <f>AG61/1024/1024</f>
        <v>1233.5404815673828</v>
      </c>
      <c r="AJ61">
        <f t="shared" si="57"/>
        <v>1.5205249723726322</v>
      </c>
      <c r="AM61">
        <f t="shared" si="58"/>
        <v>1.3475301713399375</v>
      </c>
    </row>
    <row r="62" spans="1:53" x14ac:dyDescent="0.25">
      <c r="A62" s="85">
        <v>15</v>
      </c>
      <c r="B62" s="85" t="s">
        <v>158</v>
      </c>
      <c r="C62" s="85">
        <v>15</v>
      </c>
      <c r="D62">
        <v>2000000</v>
      </c>
      <c r="E62" s="85">
        <v>10</v>
      </c>
      <c r="F62" s="85">
        <v>5</v>
      </c>
      <c r="G62">
        <v>2.5</v>
      </c>
      <c r="H62" s="85">
        <v>1.1000000000000001</v>
      </c>
      <c r="I62" s="85">
        <f t="shared" si="40"/>
        <v>115.29</v>
      </c>
      <c r="J62" s="85">
        <v>1000</v>
      </c>
      <c r="K62" s="85">
        <v>300</v>
      </c>
      <c r="L62" s="85">
        <f t="shared" si="41"/>
        <v>452447</v>
      </c>
      <c r="M62" s="85">
        <f t="shared" si="42"/>
        <v>6.7101734957520298E-8</v>
      </c>
      <c r="N62" s="85">
        <f t="shared" si="43"/>
        <v>6.1001577234109352E-8</v>
      </c>
      <c r="O62">
        <f t="shared" si="44"/>
        <v>158</v>
      </c>
      <c r="P62">
        <f t="shared" si="45"/>
        <v>26</v>
      </c>
      <c r="Q62">
        <f t="shared" si="46"/>
        <v>4779</v>
      </c>
      <c r="R62" s="85">
        <f t="shared" si="47"/>
        <v>1.4734680491330762E-7</v>
      </c>
      <c r="S62" s="85">
        <f t="shared" si="48"/>
        <v>30000000</v>
      </c>
      <c r="T62" s="85">
        <f t="shared" si="49"/>
        <v>3.72086142700875E-6</v>
      </c>
      <c r="U62" s="85">
        <f t="shared" si="50"/>
        <v>189.33014129456402</v>
      </c>
      <c r="V62" s="85">
        <f t="shared" si="39"/>
        <v>8.6737791655824431E-3</v>
      </c>
      <c r="W62" s="85">
        <f t="shared" si="51"/>
        <v>19632132</v>
      </c>
      <c r="X62" s="85">
        <f t="shared" si="52"/>
        <v>1.5171357902084017E-2</v>
      </c>
      <c r="Y62" s="85">
        <f t="shared" si="53"/>
        <v>659136.78027636197</v>
      </c>
      <c r="Z62">
        <f t="shared" si="54"/>
        <v>3.8434683209851582E-3</v>
      </c>
      <c r="AA62" s="85">
        <v>15</v>
      </c>
      <c r="AB62">
        <v>88.269635887348301</v>
      </c>
      <c r="AC62">
        <v>272.6293</v>
      </c>
      <c r="AD62">
        <v>5137.9989999999998</v>
      </c>
      <c r="AE62">
        <v>2.7100607365503201E-3</v>
      </c>
      <c r="AF62">
        <v>2.9353000000000001E-2</v>
      </c>
      <c r="AG62">
        <v>1283561040</v>
      </c>
      <c r="AH62">
        <f t="shared" si="55"/>
        <v>46.042707162243502</v>
      </c>
      <c r="AI62">
        <f t="shared" si="56"/>
        <v>1224.0991973876953</v>
      </c>
      <c r="AJ62">
        <f t="shared" si="57"/>
        <v>1.5136514321673322</v>
      </c>
      <c r="AM62">
        <f t="shared" si="58"/>
        <v>1.3414386549368187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37"/>
  <sheetViews>
    <sheetView workbookViewId="0">
      <selection activeCell="C12" sqref="C12"/>
    </sheetView>
  </sheetViews>
  <sheetFormatPr defaultRowHeight="13.2" x14ac:dyDescent="0.25"/>
  <cols>
    <col min="2" max="2" width="18.109375" customWidth="1"/>
    <col min="3" max="3" width="9.109375" customWidth="1"/>
    <col min="5" max="5" width="11" bestFit="1" customWidth="1"/>
  </cols>
  <sheetData>
    <row r="1" spans="2:7" x14ac:dyDescent="0.25">
      <c r="B1" t="s">
        <v>18</v>
      </c>
      <c r="C1">
        <f>0.032/6.022/1000</f>
        <v>5.3138492195283959E-6</v>
      </c>
      <c r="D1" t="s">
        <v>21</v>
      </c>
    </row>
    <row r="2" spans="2:7" x14ac:dyDescent="0.25">
      <c r="B2" t="s">
        <v>19</v>
      </c>
      <c r="C2">
        <v>3.64</v>
      </c>
      <c r="D2" t="s">
        <v>20</v>
      </c>
    </row>
    <row r="3" spans="2:7" x14ac:dyDescent="0.25">
      <c r="B3" t="s">
        <v>22</v>
      </c>
      <c r="C3">
        <f>1.38/C1/1000</f>
        <v>259.69874999999996</v>
      </c>
    </row>
    <row r="4" spans="2:7" x14ac:dyDescent="0.25">
      <c r="B4" t="s">
        <v>17</v>
      </c>
      <c r="C4">
        <f>5/16*C1/C2/C2*SQRT(C3*C5/PI())</f>
        <v>1.9736816446243676E-5</v>
      </c>
      <c r="E4">
        <f>2052*10^(-8)</f>
        <v>2.052E-5</v>
      </c>
    </row>
    <row r="5" spans="2:7" x14ac:dyDescent="0.25">
      <c r="B5" t="s">
        <v>23</v>
      </c>
      <c r="C5">
        <v>300</v>
      </c>
    </row>
    <row r="6" spans="2:7" x14ac:dyDescent="0.25">
      <c r="B6" t="s">
        <v>25</v>
      </c>
      <c r="C6">
        <v>2000</v>
      </c>
    </row>
    <row r="7" spans="2:7" x14ac:dyDescent="0.25">
      <c r="B7" t="s">
        <v>47</v>
      </c>
      <c r="C7">
        <v>94474</v>
      </c>
      <c r="D7" t="s">
        <v>43</v>
      </c>
    </row>
    <row r="8" spans="2:7" x14ac:dyDescent="0.25">
      <c r="B8" t="s">
        <v>27</v>
      </c>
      <c r="C8">
        <v>0.06</v>
      </c>
      <c r="D8" t="s">
        <v>51</v>
      </c>
    </row>
    <row r="9" spans="2:7" x14ac:dyDescent="0.25">
      <c r="B9" t="s">
        <v>28</v>
      </c>
      <c r="C9">
        <v>9000</v>
      </c>
      <c r="D9" t="s">
        <v>20</v>
      </c>
    </row>
    <row r="10" spans="2:7" x14ac:dyDescent="0.25">
      <c r="B10" t="s">
        <v>26</v>
      </c>
      <c r="C10">
        <f>C8/C9*10^15</f>
        <v>6666666666.666667</v>
      </c>
      <c r="D10" t="s">
        <v>45</v>
      </c>
    </row>
    <row r="11" spans="2:7" x14ac:dyDescent="0.25">
      <c r="B11" t="s">
        <v>34</v>
      </c>
      <c r="C11">
        <f>C10/2/C4*C6*C6*10^(-20)</f>
        <v>6.7555643381741737</v>
      </c>
      <c r="E11">
        <f>C10/2/E4*C6*C6*10^(-20)</f>
        <v>6.4977257959714096</v>
      </c>
    </row>
    <row r="12" spans="2:7" x14ac:dyDescent="0.25">
      <c r="B12" t="s">
        <v>31</v>
      </c>
      <c r="C12">
        <v>0.192</v>
      </c>
      <c r="D12">
        <v>1.25</v>
      </c>
      <c r="E12">
        <v>1.177</v>
      </c>
    </row>
    <row r="13" spans="2:7" x14ac:dyDescent="0.25">
      <c r="C13" t="s">
        <v>52</v>
      </c>
    </row>
    <row r="14" spans="2:7" x14ac:dyDescent="0.25">
      <c r="B14" t="s">
        <v>32</v>
      </c>
      <c r="C14">
        <f>1/(SQRT(2)*PI()*$C2*$C2*C12/$C1)</f>
        <v>4.7015424384078475E-7</v>
      </c>
      <c r="D14">
        <f>1/(SQRT(2)*PI()*$C2*$C2*D12/$C1)</f>
        <v>7.2215691853944545E-8</v>
      </c>
      <c r="E14">
        <f>1/(SQRT(2)*PI()*$C2*$C2*E12/$C1)</f>
        <v>7.6694659997817061E-8</v>
      </c>
      <c r="G14">
        <f>C14*10^10</f>
        <v>4701.5424384078478</v>
      </c>
    </row>
    <row r="15" spans="2:7" x14ac:dyDescent="0.25">
      <c r="B15" t="s">
        <v>11</v>
      </c>
      <c r="C15" s="10">
        <f>C14/$C6*10^10</f>
        <v>2.3507712192039234</v>
      </c>
      <c r="D15">
        <f>D14/$C6*10^10</f>
        <v>0.36107845926972271</v>
      </c>
      <c r="E15">
        <f>E14/$C6*10^10</f>
        <v>0.38347329998908525</v>
      </c>
    </row>
    <row r="16" spans="2:7" x14ac:dyDescent="0.25">
      <c r="B16" t="s">
        <v>38</v>
      </c>
      <c r="C16">
        <v>1000</v>
      </c>
      <c r="D16" t="s">
        <v>10</v>
      </c>
    </row>
    <row r="17" spans="2:22" x14ac:dyDescent="0.25">
      <c r="B17" t="s">
        <v>39</v>
      </c>
      <c r="C17">
        <v>1000</v>
      </c>
      <c r="D17" t="s">
        <v>10</v>
      </c>
    </row>
    <row r="18" spans="2:22" x14ac:dyDescent="0.25">
      <c r="B18" t="s">
        <v>40</v>
      </c>
      <c r="C18">
        <v>200</v>
      </c>
      <c r="D18" t="s">
        <v>41</v>
      </c>
    </row>
    <row r="19" spans="2:22" x14ac:dyDescent="0.25">
      <c r="B19" t="s">
        <v>12</v>
      </c>
      <c r="C19">
        <v>1</v>
      </c>
    </row>
    <row r="21" spans="2:22" x14ac:dyDescent="0.25">
      <c r="C21" t="s">
        <v>15</v>
      </c>
    </row>
    <row r="22" spans="2:22" x14ac:dyDescent="0.25">
      <c r="B22" t="s">
        <v>16</v>
      </c>
      <c r="C22">
        <v>27.430986100000002</v>
      </c>
      <c r="D22">
        <v>28.980483700000001</v>
      </c>
      <c r="E22">
        <v>29.520803600000001</v>
      </c>
      <c r="F22">
        <v>27.495050000000003</v>
      </c>
      <c r="G22">
        <v>27.998474500000004</v>
      </c>
      <c r="H22">
        <v>28.969418400000002</v>
      </c>
      <c r="I22">
        <v>27.340914699999995</v>
      </c>
      <c r="J22">
        <v>26.924972700000001</v>
      </c>
      <c r="K22">
        <v>29.422571000000005</v>
      </c>
      <c r="L22">
        <v>26.6846386</v>
      </c>
      <c r="M22">
        <v>26.104729300000002</v>
      </c>
      <c r="N22">
        <v>25.682029</v>
      </c>
      <c r="O22">
        <v>24.013097999999996</v>
      </c>
      <c r="P22">
        <v>25.877774800000005</v>
      </c>
      <c r="Q22">
        <v>22.886550700000001</v>
      </c>
      <c r="R22">
        <v>23.667273299999998</v>
      </c>
      <c r="S22">
        <v>22.436664700000001</v>
      </c>
      <c r="T22">
        <v>22.065630799999997</v>
      </c>
      <c r="U22">
        <v>20.955169900000001</v>
      </c>
      <c r="V22">
        <v>19.246421999999999</v>
      </c>
    </row>
    <row r="23" spans="2:22" x14ac:dyDescent="0.25">
      <c r="B23" t="s">
        <v>24</v>
      </c>
      <c r="C23">
        <f>C22/$C$11</f>
        <v>4.0605025319637136</v>
      </c>
      <c r="D23">
        <f t="shared" ref="D23:V23" si="0">D22/$C$11</f>
        <v>4.2898686548269271</v>
      </c>
      <c r="E23">
        <f t="shared" si="0"/>
        <v>4.3698501149910722</v>
      </c>
      <c r="F23">
        <f t="shared" si="0"/>
        <v>4.0699856627271922</v>
      </c>
      <c r="G23">
        <f t="shared" si="0"/>
        <v>4.1445056398600082</v>
      </c>
      <c r="H23">
        <f t="shared" si="0"/>
        <v>4.2882307013642578</v>
      </c>
      <c r="I23">
        <f t="shared" si="0"/>
        <v>4.0471696117972913</v>
      </c>
      <c r="J23">
        <f t="shared" si="0"/>
        <v>3.985599330000166</v>
      </c>
      <c r="K23">
        <f t="shared" si="0"/>
        <v>4.3553091240267934</v>
      </c>
      <c r="L23">
        <f t="shared" si="0"/>
        <v>3.9500236048691169</v>
      </c>
      <c r="M23">
        <f t="shared" si="0"/>
        <v>3.864181879297345</v>
      </c>
      <c r="N23">
        <f t="shared" si="0"/>
        <v>3.8016111925508036</v>
      </c>
      <c r="O23">
        <f t="shared" si="0"/>
        <v>3.5545658064874583</v>
      </c>
      <c r="P23">
        <f t="shared" si="0"/>
        <v>3.8305866844862275</v>
      </c>
      <c r="Q23">
        <f t="shared" si="0"/>
        <v>3.3878073769016237</v>
      </c>
      <c r="R23">
        <f t="shared" si="0"/>
        <v>3.5033747167888794</v>
      </c>
      <c r="S23">
        <f t="shared" si="0"/>
        <v>3.3212124963736129</v>
      </c>
      <c r="T23">
        <f t="shared" si="0"/>
        <v>3.2662897865263578</v>
      </c>
      <c r="U23">
        <f t="shared" si="0"/>
        <v>3.1019125643711294</v>
      </c>
      <c r="V23">
        <f t="shared" si="0"/>
        <v>2.8489732369570961</v>
      </c>
    </row>
    <row r="24" spans="2:22" x14ac:dyDescent="0.25">
      <c r="B24" t="s">
        <v>29</v>
      </c>
      <c r="C24">
        <f>AVERAGE(C22:V22)</f>
        <v>25.685182790000006</v>
      </c>
    </row>
    <row r="25" spans="2:22" x14ac:dyDescent="0.25">
      <c r="B25" t="s">
        <v>30</v>
      </c>
      <c r="C25">
        <f>C22/$C$24</f>
        <v>1.0679692772394709</v>
      </c>
      <c r="D25">
        <f t="shared" ref="D25:V25" si="1">D22/$C$24</f>
        <v>1.1282957936076263</v>
      </c>
      <c r="E25">
        <f t="shared" si="1"/>
        <v>1.1493320425772213</v>
      </c>
      <c r="F25">
        <f t="shared" si="1"/>
        <v>1.0704634740113521</v>
      </c>
      <c r="G25">
        <f t="shared" si="1"/>
        <v>1.0900632761274578</v>
      </c>
      <c r="H25">
        <f t="shared" si="1"/>
        <v>1.1278649888089816</v>
      </c>
      <c r="I25">
        <f t="shared" si="1"/>
        <v>1.0644625317069814</v>
      </c>
      <c r="J25">
        <f t="shared" si="1"/>
        <v>1.0482686816027909</v>
      </c>
      <c r="K25">
        <f t="shared" si="1"/>
        <v>1.1455075574332714</v>
      </c>
      <c r="L25">
        <f t="shared" si="1"/>
        <v>1.0389117655175539</v>
      </c>
      <c r="M25">
        <f t="shared" si="1"/>
        <v>1.0163341843205935</v>
      </c>
      <c r="N25">
        <f t="shared" si="1"/>
        <v>0.99987721364392101</v>
      </c>
      <c r="O25">
        <f t="shared" si="1"/>
        <v>0.93490080239370532</v>
      </c>
      <c r="P25">
        <f t="shared" si="1"/>
        <v>1.0074981755658357</v>
      </c>
      <c r="Q25">
        <f t="shared" si="1"/>
        <v>0.89104098994033265</v>
      </c>
      <c r="R25">
        <f t="shared" si="1"/>
        <v>0.92143682579570196</v>
      </c>
      <c r="S25">
        <f t="shared" si="1"/>
        <v>0.87352559969848653</v>
      </c>
      <c r="T25">
        <f t="shared" si="1"/>
        <v>0.85908015451580877</v>
      </c>
      <c r="U25">
        <f t="shared" si="1"/>
        <v>0.81584663310858208</v>
      </c>
      <c r="V25">
        <f t="shared" si="1"/>
        <v>0.74932003238432066</v>
      </c>
    </row>
    <row r="27" spans="2:22" x14ac:dyDescent="0.25">
      <c r="C27" t="s">
        <v>49</v>
      </c>
    </row>
    <row r="28" spans="2:22" x14ac:dyDescent="0.25">
      <c r="B28" t="s">
        <v>16</v>
      </c>
      <c r="C28">
        <v>6.8574057999999996</v>
      </c>
      <c r="D28">
        <v>7.0324957000000001</v>
      </c>
      <c r="E28">
        <v>6.5591169999999988</v>
      </c>
      <c r="F28">
        <v>6.6561402000000003</v>
      </c>
      <c r="G28">
        <v>6.606312</v>
      </c>
      <c r="H28">
        <v>6.5397734999999999</v>
      </c>
      <c r="I28">
        <v>6.476408600000001</v>
      </c>
      <c r="J28">
        <v>5.9142903000000002</v>
      </c>
      <c r="K28">
        <v>6.0977243999999997</v>
      </c>
      <c r="L28">
        <v>5.8759262000000003</v>
      </c>
      <c r="M28">
        <v>5.6156607000000012</v>
      </c>
      <c r="N28">
        <v>5.4278094000000001</v>
      </c>
      <c r="O28">
        <v>5.030307500000001</v>
      </c>
      <c r="P28">
        <v>4.6245637999999998</v>
      </c>
      <c r="Q28">
        <v>4.4753169999999995</v>
      </c>
      <c r="R28">
        <v>3.8746215999999998</v>
      </c>
      <c r="S28">
        <v>3.4260581999999999</v>
      </c>
      <c r="T28">
        <v>3.2474627000000007</v>
      </c>
      <c r="U28">
        <v>2.6484131</v>
      </c>
      <c r="V28">
        <v>2.1983851000000003</v>
      </c>
    </row>
    <row r="29" spans="2:22" x14ac:dyDescent="0.25">
      <c r="C29" t="s">
        <v>50</v>
      </c>
    </row>
    <row r="30" spans="2:22" x14ac:dyDescent="0.25">
      <c r="B30" t="s">
        <v>16</v>
      </c>
      <c r="C30">
        <v>6.5319335490196089</v>
      </c>
      <c r="D30">
        <v>7.1227567254901967</v>
      </c>
      <c r="E30">
        <v>6.0515091764705904</v>
      </c>
      <c r="F30">
        <v>6.292066725490197</v>
      </c>
      <c r="G30">
        <v>6.3762554705882355</v>
      </c>
      <c r="H30">
        <v>6.5922658823529385</v>
      </c>
      <c r="I30">
        <v>6.0862468823529428</v>
      </c>
      <c r="J30">
        <v>6.443624784313724</v>
      </c>
      <c r="K30">
        <v>6.403544352941176</v>
      </c>
      <c r="L30">
        <v>5.979572980392156</v>
      </c>
      <c r="M30">
        <v>5.7798341960784336</v>
      </c>
      <c r="N30">
        <v>5.5481685098039213</v>
      </c>
      <c r="O30">
        <v>4.5409234901960787</v>
      </c>
      <c r="P30">
        <v>4.3388772352941176</v>
      </c>
      <c r="Q30">
        <v>4.3904393137254907</v>
      </c>
      <c r="R30">
        <v>4.3471754901960775</v>
      </c>
      <c r="S30">
        <v>3.5517136666666667</v>
      </c>
      <c r="T30">
        <v>3.0948073725490195</v>
      </c>
      <c r="U30">
        <v>2.6744571372549024</v>
      </c>
      <c r="V30">
        <v>1.6665205686274511</v>
      </c>
    </row>
    <row r="31" spans="2:22" x14ac:dyDescent="0.25">
      <c r="C31" t="s">
        <v>36</v>
      </c>
    </row>
    <row r="32" spans="2:22" x14ac:dyDescent="0.25">
      <c r="B32" t="s">
        <v>16</v>
      </c>
      <c r="C32">
        <v>5.3264141</v>
      </c>
      <c r="D32">
        <v>4.7547923000000001</v>
      </c>
      <c r="E32">
        <v>5.0722536999999992</v>
      </c>
      <c r="F32">
        <v>5.3259808</v>
      </c>
      <c r="G32">
        <v>4.2068625999999991</v>
      </c>
      <c r="H32">
        <v>4.4006308999999995</v>
      </c>
      <c r="I32">
        <v>4.5715316999999995</v>
      </c>
      <c r="J32">
        <v>3.2911158999999999</v>
      </c>
      <c r="K32">
        <v>4.2114177000000002</v>
      </c>
      <c r="L32">
        <v>4.0424135000000003</v>
      </c>
      <c r="M32">
        <v>3.5080183000000007</v>
      </c>
      <c r="N32">
        <v>4.2556728999999995</v>
      </c>
      <c r="O32">
        <v>3.8221545000000008</v>
      </c>
      <c r="P32">
        <v>4.0160868000000001</v>
      </c>
      <c r="Q32">
        <v>4.0316391999999999</v>
      </c>
      <c r="R32">
        <v>4.1787505000000014</v>
      </c>
      <c r="S32">
        <v>3.3044774000000006</v>
      </c>
      <c r="T32">
        <v>3.0142319</v>
      </c>
      <c r="U32">
        <v>2.6595435000000003</v>
      </c>
      <c r="V32">
        <v>2.5262859999999998</v>
      </c>
    </row>
    <row r="34" spans="2:4" x14ac:dyDescent="0.25">
      <c r="B34" t="s">
        <v>37</v>
      </c>
      <c r="C34">
        <v>-4.85738E-2</v>
      </c>
      <c r="D34" t="s">
        <v>44</v>
      </c>
    </row>
    <row r="35" spans="2:4" x14ac:dyDescent="0.25">
      <c r="B35" t="s">
        <v>42</v>
      </c>
      <c r="C35">
        <f>-C34/C16/C17*10000000000</f>
        <v>485.738</v>
      </c>
      <c r="D35" t="s">
        <v>43</v>
      </c>
    </row>
    <row r="36" spans="2:4" x14ac:dyDescent="0.25">
      <c r="B36" t="s">
        <v>46</v>
      </c>
      <c r="C36">
        <f>C35/C10/C6*2*10^10</f>
        <v>0.72860699999999989</v>
      </c>
    </row>
    <row r="37" spans="2:4" x14ac:dyDescent="0.25">
      <c r="B37" t="s">
        <v>48</v>
      </c>
      <c r="C37">
        <f>C7*C6/SQRT(2*PI()*C3*C5)/C4*(2-C19)/C19*C15*10^(-10)</f>
        <v>3.216548253540287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M555"/>
  <sheetViews>
    <sheetView topLeftCell="V187" workbookViewId="0">
      <selection activeCell="AJ470" sqref="AJ470"/>
    </sheetView>
  </sheetViews>
  <sheetFormatPr defaultRowHeight="13.2" x14ac:dyDescent="0.25"/>
  <cols>
    <col min="1" max="1" width="27.109375" customWidth="1"/>
    <col min="2" max="2" width="20.6640625" customWidth="1"/>
    <col min="4" max="4" width="12.6640625" customWidth="1"/>
    <col min="5" max="5" width="12.44140625" bestFit="1" customWidth="1"/>
    <col min="6" max="6" width="15.33203125" customWidth="1"/>
    <col min="7" max="8" width="12.44140625" bestFit="1" customWidth="1"/>
    <col min="9" max="9" width="10.6640625" customWidth="1"/>
    <col min="10" max="10" width="12.44140625" bestFit="1" customWidth="1"/>
    <col min="11" max="11" width="14" customWidth="1"/>
    <col min="12" max="12" width="14.44140625" customWidth="1"/>
    <col min="14" max="14" width="9.109375" customWidth="1"/>
    <col min="15" max="15" width="10.33203125" customWidth="1"/>
    <col min="16" max="16" width="11.88671875" customWidth="1"/>
    <col min="17" max="17" width="12.44140625" bestFit="1" customWidth="1"/>
    <col min="21" max="21" width="12.44140625" bestFit="1" customWidth="1"/>
    <col min="23" max="23" width="11" bestFit="1" customWidth="1"/>
    <col min="24" max="24" width="12.33203125" bestFit="1" customWidth="1"/>
    <col min="30" max="30" width="14" customWidth="1"/>
    <col min="31" max="31" width="12.44140625" bestFit="1" customWidth="1"/>
    <col min="37" max="37" width="11.6640625" customWidth="1"/>
    <col min="40" max="40" width="12.33203125" bestFit="1" customWidth="1"/>
    <col min="43" max="43" width="12.44140625" bestFit="1" customWidth="1"/>
    <col min="50" max="50" width="12.44140625" bestFit="1" customWidth="1"/>
    <col min="52" max="52" width="12.44140625" bestFit="1" customWidth="1"/>
    <col min="56" max="56" width="10.109375" bestFit="1" customWidth="1"/>
    <col min="72" max="72" width="13.6640625" customWidth="1"/>
    <col min="73" max="73" width="13" customWidth="1"/>
    <col min="75" max="75" width="12.44140625" bestFit="1" customWidth="1"/>
  </cols>
  <sheetData>
    <row r="3" spans="2:23" x14ac:dyDescent="0.25">
      <c r="B3" s="98" t="s">
        <v>14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100"/>
    </row>
    <row r="4" spans="2:23" x14ac:dyDescent="0.25">
      <c r="B4" t="s">
        <v>53</v>
      </c>
      <c r="C4">
        <f>J5</f>
        <v>1.1466000000000001</v>
      </c>
      <c r="D4">
        <f>2/PI()</f>
        <v>0.63661977236758138</v>
      </c>
      <c r="E4" t="s">
        <v>55</v>
      </c>
      <c r="F4">
        <f>2/SQRTPI(1)</f>
        <v>1.1283791670955126</v>
      </c>
    </row>
    <row r="5" spans="2:23" x14ac:dyDescent="0.25">
      <c r="B5" t="s">
        <v>11</v>
      </c>
      <c r="C5" s="8">
        <v>0.37</v>
      </c>
      <c r="D5">
        <v>0.18</v>
      </c>
      <c r="E5">
        <v>2.35</v>
      </c>
      <c r="H5">
        <f>5/8*SQRT(PI())*1.012</f>
        <v>1.1210770606977387</v>
      </c>
      <c r="J5">
        <f>1.1466</f>
        <v>1.1466000000000001</v>
      </c>
      <c r="L5">
        <f>J5*F4</f>
        <v>1.2937995529917148</v>
      </c>
    </row>
    <row r="6" spans="2:23" x14ac:dyDescent="0.25">
      <c r="B6" t="s">
        <v>12</v>
      </c>
      <c r="C6" s="8">
        <v>1</v>
      </c>
      <c r="E6" s="12" t="s">
        <v>150</v>
      </c>
      <c r="F6" s="12" t="s">
        <v>151</v>
      </c>
      <c r="J6">
        <v>0.98450000000000004</v>
      </c>
      <c r="K6">
        <f>J6*2/SQRT(PI())</f>
        <v>1.1108892900055323</v>
      </c>
    </row>
    <row r="7" spans="2:23" x14ac:dyDescent="0.25">
      <c r="B7" t="s">
        <v>10</v>
      </c>
      <c r="C7">
        <f>1/(-1/6-(2-C6)/C6*C5/2)</f>
        <v>-2.8436018957345972</v>
      </c>
      <c r="E7" s="12">
        <f>H7</f>
        <v>1.1466000000000001</v>
      </c>
      <c r="F7" s="12">
        <f>H7^2+2/PI()</f>
        <v>1.9513113323675815</v>
      </c>
      <c r="G7" s="10" t="s">
        <v>68</v>
      </c>
      <c r="H7" s="10">
        <f>1.1466</f>
        <v>1.1466000000000001</v>
      </c>
      <c r="J7">
        <v>0.9849</v>
      </c>
      <c r="K7">
        <f>J7*2/SQRT(PI())</f>
        <v>1.1113406416723703</v>
      </c>
    </row>
    <row r="8" spans="2:23" x14ac:dyDescent="0.25">
      <c r="B8" t="s">
        <v>13</v>
      </c>
      <c r="C8">
        <f>-(2-C6)/C6*C7*C5/2*5/8*SQRTPI(1)</f>
        <v>0.58276770571834202</v>
      </c>
      <c r="E8" s="17" t="s">
        <v>152</v>
      </c>
      <c r="F8" s="12">
        <f>2*H7^2-4/PI()</f>
        <v>1.3561435752648376</v>
      </c>
    </row>
    <row r="10" spans="2:23" x14ac:dyDescent="0.25">
      <c r="B10" t="s">
        <v>8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</row>
    <row r="11" spans="2:23" x14ac:dyDescent="0.25">
      <c r="B11" t="s">
        <v>7</v>
      </c>
      <c r="C11">
        <v>0</v>
      </c>
      <c r="D11">
        <v>2.5000000000000001E-2</v>
      </c>
      <c r="E11">
        <v>0.05</v>
      </c>
      <c r="F11">
        <v>7.4999999999999997E-2</v>
      </c>
      <c r="G11">
        <v>0.1</v>
      </c>
      <c r="H11">
        <v>0.125</v>
      </c>
      <c r="I11">
        <v>0.15</v>
      </c>
      <c r="J11">
        <v>0.17499999999999999</v>
      </c>
      <c r="K11">
        <v>0.2</v>
      </c>
      <c r="L11">
        <v>0.22500000000000001</v>
      </c>
      <c r="M11">
        <v>0.25</v>
      </c>
      <c r="N11">
        <v>0.27500000000000002</v>
      </c>
      <c r="O11">
        <v>0.3</v>
      </c>
      <c r="P11">
        <v>0.32500000000000001</v>
      </c>
      <c r="Q11">
        <v>0.35</v>
      </c>
      <c r="R11">
        <v>0.375</v>
      </c>
      <c r="S11">
        <v>0.4</v>
      </c>
      <c r="T11">
        <v>0.42499999999999999</v>
      </c>
      <c r="U11">
        <v>0.45</v>
      </c>
      <c r="V11">
        <v>0.47499999999999998</v>
      </c>
      <c r="W11">
        <v>0.5</v>
      </c>
    </row>
    <row r="12" spans="2:23" x14ac:dyDescent="0.25">
      <c r="B12" t="s">
        <v>56</v>
      </c>
      <c r="C12">
        <f>(C11+D11)/2</f>
        <v>1.2500000000000001E-2</v>
      </c>
      <c r="D12">
        <f t="shared" ref="D12:M12" si="0">(D11+E11)/2</f>
        <v>3.7500000000000006E-2</v>
      </c>
      <c r="E12">
        <f t="shared" si="0"/>
        <v>6.25E-2</v>
      </c>
      <c r="F12">
        <f t="shared" si="0"/>
        <v>8.7499999999999994E-2</v>
      </c>
      <c r="G12">
        <f t="shared" si="0"/>
        <v>0.1125</v>
      </c>
      <c r="H12">
        <f t="shared" si="0"/>
        <v>0.13750000000000001</v>
      </c>
      <c r="I12">
        <f t="shared" si="0"/>
        <v>0.16249999999999998</v>
      </c>
      <c r="J12">
        <f t="shared" si="0"/>
        <v>0.1875</v>
      </c>
      <c r="K12">
        <f t="shared" si="0"/>
        <v>0.21250000000000002</v>
      </c>
      <c r="L12">
        <f t="shared" si="0"/>
        <v>0.23749999999999999</v>
      </c>
      <c r="M12">
        <f t="shared" si="0"/>
        <v>0.26250000000000001</v>
      </c>
      <c r="N12">
        <f t="shared" ref="N12:V12" si="1">(N11+O11)/2</f>
        <v>0.28749999999999998</v>
      </c>
      <c r="O12">
        <f t="shared" si="1"/>
        <v>0.3125</v>
      </c>
      <c r="P12">
        <f t="shared" si="1"/>
        <v>0.33750000000000002</v>
      </c>
      <c r="Q12">
        <f t="shared" si="1"/>
        <v>0.36249999999999999</v>
      </c>
      <c r="R12">
        <f t="shared" si="1"/>
        <v>0.38750000000000001</v>
      </c>
      <c r="S12">
        <f t="shared" si="1"/>
        <v>0.41249999999999998</v>
      </c>
      <c r="T12">
        <f t="shared" si="1"/>
        <v>0.4375</v>
      </c>
      <c r="U12">
        <f t="shared" si="1"/>
        <v>0.46250000000000002</v>
      </c>
      <c r="V12">
        <f t="shared" si="1"/>
        <v>0.48749999999999999</v>
      </c>
    </row>
    <row r="14" spans="2:23" x14ac:dyDescent="0.25">
      <c r="B14" t="s">
        <v>57</v>
      </c>
    </row>
    <row r="15" spans="2:23" x14ac:dyDescent="0.25">
      <c r="B15" t="s">
        <v>33</v>
      </c>
    </row>
    <row r="16" spans="2:23" x14ac:dyDescent="0.25">
      <c r="B16" t="s">
        <v>9</v>
      </c>
      <c r="C16">
        <f t="shared" ref="C16:W16" si="2">-C11*C11+1/4</f>
        <v>0.25</v>
      </c>
      <c r="D16">
        <f t="shared" si="2"/>
        <v>0.24937500000000001</v>
      </c>
      <c r="E16">
        <f t="shared" si="2"/>
        <v>0.2475</v>
      </c>
      <c r="F16">
        <f t="shared" si="2"/>
        <v>0.24437500000000001</v>
      </c>
      <c r="G16">
        <f t="shared" si="2"/>
        <v>0.24</v>
      </c>
      <c r="H16">
        <f t="shared" si="2"/>
        <v>0.234375</v>
      </c>
      <c r="I16">
        <f t="shared" si="2"/>
        <v>0.22750000000000001</v>
      </c>
      <c r="J16">
        <f t="shared" si="2"/>
        <v>0.21937500000000001</v>
      </c>
      <c r="K16">
        <f t="shared" si="2"/>
        <v>0.21</v>
      </c>
      <c r="L16">
        <f t="shared" si="2"/>
        <v>0.199375</v>
      </c>
      <c r="M16">
        <f t="shared" si="2"/>
        <v>0.1875</v>
      </c>
      <c r="N16">
        <f t="shared" si="2"/>
        <v>0.174375</v>
      </c>
      <c r="O16">
        <f t="shared" si="2"/>
        <v>0.16</v>
      </c>
      <c r="P16">
        <f t="shared" si="2"/>
        <v>0.14437499999999998</v>
      </c>
      <c r="Q16">
        <f t="shared" si="2"/>
        <v>0.1275</v>
      </c>
      <c r="R16">
        <f t="shared" si="2"/>
        <v>0.109375</v>
      </c>
      <c r="S16">
        <f t="shared" si="2"/>
        <v>8.9999999999999969E-2</v>
      </c>
      <c r="T16">
        <f t="shared" si="2"/>
        <v>6.937500000000002E-2</v>
      </c>
      <c r="U16">
        <f t="shared" si="2"/>
        <v>4.7499999999999987E-2</v>
      </c>
      <c r="V16">
        <f t="shared" si="2"/>
        <v>2.4375000000000008E-2</v>
      </c>
      <c r="W16">
        <f t="shared" si="2"/>
        <v>0</v>
      </c>
    </row>
    <row r="17" spans="1:23" x14ac:dyDescent="0.25">
      <c r="B17" t="str">
        <f>CONCATENATE("N-S + Slip (Kn=",$C$5,")")</f>
        <v>N-S + Slip (Kn=0,37)</v>
      </c>
      <c r="C17">
        <f>-C11*C11+1/4+$C$5*$E$7</f>
        <v>0.67424200000000001</v>
      </c>
      <c r="D17">
        <f t="shared" ref="D17:W17" si="3">-D11*D11+1/4+$C$5*$E$7</f>
        <v>0.67361700000000002</v>
      </c>
      <c r="E17">
        <f t="shared" si="3"/>
        <v>0.67174200000000006</v>
      </c>
      <c r="F17">
        <f>-F11*F11+1/4+$C$5*$E$7</f>
        <v>0.66861700000000002</v>
      </c>
      <c r="G17">
        <f t="shared" si="3"/>
        <v>0.664242</v>
      </c>
      <c r="H17">
        <f t="shared" si="3"/>
        <v>0.65861700000000001</v>
      </c>
      <c r="I17">
        <f t="shared" si="3"/>
        <v>0.65174200000000004</v>
      </c>
      <c r="J17">
        <f t="shared" si="3"/>
        <v>0.64361699999999999</v>
      </c>
      <c r="K17">
        <f t="shared" si="3"/>
        <v>0.63424199999999997</v>
      </c>
      <c r="L17">
        <f t="shared" si="3"/>
        <v>0.62361699999999998</v>
      </c>
      <c r="M17">
        <f t="shared" si="3"/>
        <v>0.61174200000000001</v>
      </c>
      <c r="N17">
        <f t="shared" si="3"/>
        <v>0.59861699999999995</v>
      </c>
      <c r="O17">
        <f t="shared" si="3"/>
        <v>0.58424200000000004</v>
      </c>
      <c r="P17">
        <f t="shared" si="3"/>
        <v>0.56861699999999993</v>
      </c>
      <c r="Q17">
        <f t="shared" si="3"/>
        <v>0.55174199999999995</v>
      </c>
      <c r="R17">
        <f t="shared" si="3"/>
        <v>0.53361700000000001</v>
      </c>
      <c r="S17">
        <f t="shared" si="3"/>
        <v>0.51424199999999998</v>
      </c>
      <c r="T17">
        <f t="shared" si="3"/>
        <v>0.49361700000000003</v>
      </c>
      <c r="U17">
        <f t="shared" si="3"/>
        <v>0.47174199999999999</v>
      </c>
      <c r="V17">
        <f t="shared" si="3"/>
        <v>0.44861700000000004</v>
      </c>
      <c r="W17">
        <f t="shared" si="3"/>
        <v>0.42424200000000001</v>
      </c>
    </row>
    <row r="18" spans="1:23" x14ac:dyDescent="0.25">
      <c r="B18" t="s">
        <v>54</v>
      </c>
    </row>
    <row r="19" spans="1:23" x14ac:dyDescent="0.25">
      <c r="B19" t="str">
        <f>CONCATENATE("Cercignani (Kn=",$C$5,")")</f>
        <v>Cercignani (Kn=0,37)</v>
      </c>
      <c r="C19">
        <f>-C11*C11+1/4+$C$5*$E$7+$F$7*($C$5)^2</f>
        <v>0.94137652140112182</v>
      </c>
      <c r="D19">
        <f t="shared" ref="D19:W19" si="4">-D11*D11+1/4+$C$5*$E$7+$F$7*($C$5)^2</f>
        <v>0.94075152140112195</v>
      </c>
      <c r="E19">
        <f t="shared" si="4"/>
        <v>0.93887652140112188</v>
      </c>
      <c r="F19">
        <f t="shared" si="4"/>
        <v>0.93575152140112183</v>
      </c>
      <c r="G19">
        <f t="shared" si="4"/>
        <v>0.93137652140112182</v>
      </c>
      <c r="H19">
        <f t="shared" si="4"/>
        <v>0.92575152140112182</v>
      </c>
      <c r="I19">
        <f t="shared" si="4"/>
        <v>0.91887652140112186</v>
      </c>
      <c r="J19">
        <f t="shared" si="4"/>
        <v>0.91075152140112192</v>
      </c>
      <c r="K19">
        <f t="shared" si="4"/>
        <v>0.90137652140112179</v>
      </c>
      <c r="L19">
        <f t="shared" si="4"/>
        <v>0.8907515214011219</v>
      </c>
      <c r="M19">
        <f t="shared" si="4"/>
        <v>0.87887652140112182</v>
      </c>
      <c r="N19">
        <f t="shared" si="4"/>
        <v>0.86575152140112177</v>
      </c>
      <c r="O19">
        <f t="shared" si="4"/>
        <v>0.85137652140112197</v>
      </c>
      <c r="P19">
        <f t="shared" si="4"/>
        <v>0.83575152140112174</v>
      </c>
      <c r="Q19">
        <f t="shared" si="4"/>
        <v>0.81887652140112177</v>
      </c>
      <c r="R19">
        <f t="shared" si="4"/>
        <v>0.80075152140112182</v>
      </c>
      <c r="S19">
        <f t="shared" si="4"/>
        <v>0.7813765214011219</v>
      </c>
      <c r="T19">
        <f t="shared" si="4"/>
        <v>0.7607515214011219</v>
      </c>
      <c r="U19">
        <f t="shared" si="4"/>
        <v>0.73887652140112192</v>
      </c>
      <c r="V19">
        <f t="shared" si="4"/>
        <v>0.71575152140112186</v>
      </c>
      <c r="W19">
        <f t="shared" si="4"/>
        <v>0.69137652140112182</v>
      </c>
    </row>
    <row r="20" spans="1:23" x14ac:dyDescent="0.25">
      <c r="A20" s="9" t="s">
        <v>58</v>
      </c>
      <c r="B20" t="str">
        <f>CONCATENATE("EDMD LV (Kn=",$C$5,")")</f>
        <v>EDMD LV (Kn=0,37)</v>
      </c>
      <c r="C20">
        <v>0.68176815650188027</v>
      </c>
      <c r="D20">
        <v>0.74344151071347453</v>
      </c>
      <c r="E20">
        <v>0.77965090084629352</v>
      </c>
      <c r="F20">
        <v>0.74091074092559162</v>
      </c>
      <c r="G20">
        <v>0.73353080918946101</v>
      </c>
      <c r="H20">
        <v>0.73378014918843126</v>
      </c>
      <c r="I20">
        <v>0.79259045906659342</v>
      </c>
      <c r="J20">
        <v>0.7642394279494571</v>
      </c>
      <c r="K20">
        <v>0.65490808028044278</v>
      </c>
      <c r="L20">
        <v>0.67360208200481153</v>
      </c>
      <c r="M20">
        <v>0.5992854719486771</v>
      </c>
      <c r="N20">
        <v>0.63254537107996178</v>
      </c>
      <c r="O20">
        <v>0.63994287373831094</v>
      </c>
      <c r="P20">
        <v>0.62117817574104239</v>
      </c>
      <c r="Q20">
        <v>0.57256919673229256</v>
      </c>
      <c r="R20">
        <v>0.58762274782904744</v>
      </c>
      <c r="S20">
        <v>0.51752857942797059</v>
      </c>
      <c r="T20">
        <v>0.48943214359883896</v>
      </c>
      <c r="U20">
        <v>0.45124411909398043</v>
      </c>
      <c r="V20">
        <v>0.38966830490349452</v>
      </c>
    </row>
    <row r="21" spans="1:23" x14ac:dyDescent="0.25">
      <c r="A21" s="9" t="s">
        <v>58</v>
      </c>
      <c r="B21" t="str">
        <f>CONCATENATE("EDMD HV (Kn=",$C$5,")")</f>
        <v>EDMD HV (Kn=0,37)</v>
      </c>
      <c r="C21">
        <v>0.75598164098751508</v>
      </c>
      <c r="D21">
        <v>0.75845064938211759</v>
      </c>
      <c r="E21">
        <v>0.75507394829736552</v>
      </c>
      <c r="F21">
        <v>0.74936397977937319</v>
      </c>
      <c r="G21">
        <v>0.75477935942572638</v>
      </c>
      <c r="H21">
        <v>0.73933023265428155</v>
      </c>
      <c r="I21">
        <v>0.72574189323293681</v>
      </c>
      <c r="J21">
        <v>0.69184838012955729</v>
      </c>
      <c r="K21">
        <v>0.69412215683701051</v>
      </c>
      <c r="L21">
        <v>0.66547548820055769</v>
      </c>
      <c r="M21">
        <v>0.67866812846089919</v>
      </c>
      <c r="N21">
        <v>0.65843306022339199</v>
      </c>
      <c r="O21">
        <v>0.63929065529324092</v>
      </c>
      <c r="P21">
        <v>0.58932006189934949</v>
      </c>
      <c r="Q21">
        <v>0.58118097926971246</v>
      </c>
      <c r="R21">
        <v>0.5555783908410824</v>
      </c>
      <c r="S21">
        <v>0.5374613779852474</v>
      </c>
      <c r="T21">
        <v>0.49008600633068922</v>
      </c>
      <c r="U21">
        <v>0.43796998118953318</v>
      </c>
      <c r="V21">
        <v>0.38333425810698463</v>
      </c>
    </row>
    <row r="23" spans="1:23" x14ac:dyDescent="0.25">
      <c r="B23" t="s">
        <v>59</v>
      </c>
    </row>
    <row r="24" spans="1:23" x14ac:dyDescent="0.25">
      <c r="B24" t="s">
        <v>33</v>
      </c>
    </row>
    <row r="25" spans="1:23" x14ac:dyDescent="0.25">
      <c r="B25" t="str">
        <f>CONCATENATE("N-S + Slip (Kn=",$D$5,")")</f>
        <v>N-S + Slip (Kn=0,18)</v>
      </c>
      <c r="C25">
        <f>-C11*C11+1/4+$D$5*$E$7</f>
        <v>0.45638800000000002</v>
      </c>
      <c r="D25">
        <f t="shared" ref="D25:W25" si="5">-D11*D11+1/4+$D$5*$E$7</f>
        <v>0.45576300000000003</v>
      </c>
      <c r="E25">
        <f t="shared" si="5"/>
        <v>0.45388800000000001</v>
      </c>
      <c r="F25">
        <f t="shared" si="5"/>
        <v>0.45076300000000002</v>
      </c>
      <c r="G25">
        <f t="shared" si="5"/>
        <v>0.44638800000000001</v>
      </c>
      <c r="H25">
        <f t="shared" si="5"/>
        <v>0.44076300000000002</v>
      </c>
      <c r="I25">
        <f t="shared" si="5"/>
        <v>0.43388800000000005</v>
      </c>
      <c r="J25">
        <f t="shared" si="5"/>
        <v>0.425763</v>
      </c>
      <c r="K25">
        <f t="shared" si="5"/>
        <v>0.41638799999999998</v>
      </c>
      <c r="L25">
        <f t="shared" si="5"/>
        <v>0.40576299999999998</v>
      </c>
      <c r="M25">
        <f t="shared" si="5"/>
        <v>0.39388800000000002</v>
      </c>
      <c r="N25">
        <f t="shared" si="5"/>
        <v>0.38076300000000002</v>
      </c>
      <c r="O25">
        <f t="shared" si="5"/>
        <v>0.36638800000000005</v>
      </c>
      <c r="P25">
        <f t="shared" si="5"/>
        <v>0.35076299999999999</v>
      </c>
      <c r="Q25">
        <f t="shared" si="5"/>
        <v>0.33388800000000002</v>
      </c>
      <c r="R25">
        <f t="shared" si="5"/>
        <v>0.31576300000000002</v>
      </c>
      <c r="S25">
        <f t="shared" si="5"/>
        <v>0.29638799999999998</v>
      </c>
      <c r="T25">
        <f t="shared" si="5"/>
        <v>0.27576300000000004</v>
      </c>
      <c r="U25">
        <f t="shared" si="5"/>
        <v>0.253888</v>
      </c>
      <c r="V25">
        <f t="shared" si="5"/>
        <v>0.23076300000000002</v>
      </c>
      <c r="W25">
        <f t="shared" si="5"/>
        <v>0.20638800000000002</v>
      </c>
    </row>
    <row r="26" spans="1:23" x14ac:dyDescent="0.25">
      <c r="B26" t="s">
        <v>54</v>
      </c>
    </row>
    <row r="27" spans="1:23" x14ac:dyDescent="0.25">
      <c r="B27" t="str">
        <f>CONCATENATE("Cercignani (Kn=",$D$5,")")</f>
        <v>Cercignani (Kn=0,18)</v>
      </c>
      <c r="C27">
        <f>-C11*C11+1/4+$D$5*$E$7+$F$7*($D$5)^2</f>
        <v>0.51961048716870961</v>
      </c>
      <c r="D27">
        <f t="shared" ref="D27:W27" si="6">-D11*D11+1/4+$D$5*$E$7+$F$7*($D$5)^2</f>
        <v>0.51898548716870962</v>
      </c>
      <c r="E27">
        <f t="shared" si="6"/>
        <v>0.51711048716870966</v>
      </c>
      <c r="F27">
        <f t="shared" si="6"/>
        <v>0.51398548716870962</v>
      </c>
      <c r="G27">
        <f t="shared" si="6"/>
        <v>0.5096104871687096</v>
      </c>
      <c r="H27">
        <f t="shared" si="6"/>
        <v>0.50398548716870961</v>
      </c>
      <c r="I27">
        <f t="shared" si="6"/>
        <v>0.4971104871687097</v>
      </c>
      <c r="J27">
        <f t="shared" si="6"/>
        <v>0.48898548716870965</v>
      </c>
      <c r="K27">
        <f t="shared" si="6"/>
        <v>0.47961048716870963</v>
      </c>
      <c r="L27">
        <f t="shared" si="6"/>
        <v>0.46898548716870964</v>
      </c>
      <c r="M27">
        <f t="shared" si="6"/>
        <v>0.45711048716870967</v>
      </c>
      <c r="N27">
        <f t="shared" si="6"/>
        <v>0.44398548716870967</v>
      </c>
      <c r="O27">
        <f t="shared" si="6"/>
        <v>0.4296104871687097</v>
      </c>
      <c r="P27">
        <f t="shared" si="6"/>
        <v>0.41398548716870964</v>
      </c>
      <c r="Q27">
        <f t="shared" si="6"/>
        <v>0.39711048716870967</v>
      </c>
      <c r="R27">
        <f t="shared" si="6"/>
        <v>0.37898548716870967</v>
      </c>
      <c r="S27">
        <f t="shared" si="6"/>
        <v>0.35961048716870964</v>
      </c>
      <c r="T27">
        <f t="shared" si="6"/>
        <v>0.33898548716870969</v>
      </c>
      <c r="U27">
        <f t="shared" si="6"/>
        <v>0.31711048716870965</v>
      </c>
      <c r="V27">
        <f t="shared" si="6"/>
        <v>0.29398548716870965</v>
      </c>
      <c r="W27">
        <f t="shared" si="6"/>
        <v>0.26961048716870967</v>
      </c>
    </row>
    <row r="28" spans="1:23" x14ac:dyDescent="0.25">
      <c r="A28" s="11" t="s">
        <v>60</v>
      </c>
      <c r="B28" t="str">
        <f>CONCATENATE("EDMD LV (Kn=",$D$5,")")</f>
        <v>EDMD LV (Kn=0,18)</v>
      </c>
      <c r="C28">
        <v>0.43783849872405173</v>
      </c>
      <c r="D28">
        <v>0.43131113418113298</v>
      </c>
      <c r="E28">
        <v>0.44987176116222605</v>
      </c>
      <c r="F28">
        <v>0.48488339231666705</v>
      </c>
      <c r="G28">
        <v>0.44542024700782146</v>
      </c>
      <c r="H28">
        <v>0.46514060106762373</v>
      </c>
      <c r="I28">
        <v>0.42736442654585471</v>
      </c>
      <c r="J28">
        <v>0.45474904625347845</v>
      </c>
      <c r="K28">
        <v>0.38655153354213923</v>
      </c>
      <c r="L28">
        <v>0.42262731124984643</v>
      </c>
      <c r="M28">
        <v>0.36579000577704607</v>
      </c>
      <c r="N28">
        <v>0.34360012671765461</v>
      </c>
      <c r="O28">
        <v>0.33460890479014155</v>
      </c>
      <c r="P28">
        <v>0.33842694201364909</v>
      </c>
      <c r="Q28">
        <v>0.30446889111195785</v>
      </c>
      <c r="R28">
        <v>0.30329230806243268</v>
      </c>
      <c r="S28">
        <v>0.27411215163781161</v>
      </c>
      <c r="T28">
        <v>0.2659298867146177</v>
      </c>
      <c r="U28">
        <v>0.23411029779575332</v>
      </c>
      <c r="V28">
        <v>0.20877251650842207</v>
      </c>
    </row>
    <row r="29" spans="1:23" x14ac:dyDescent="0.25">
      <c r="A29" s="10" t="s">
        <v>61</v>
      </c>
      <c r="B29" t="str">
        <f>CONCATENATE("EDMD HV (Kn=",$D$5,")")</f>
        <v>EDMD HV (Kn=0,18)</v>
      </c>
      <c r="C29">
        <v>0.48579358403194101</v>
      </c>
      <c r="D29">
        <v>0.47521377923367653</v>
      </c>
      <c r="E29">
        <v>0.48289451076143269</v>
      </c>
      <c r="F29">
        <v>0.4640067759087016</v>
      </c>
      <c r="G29">
        <v>0.47257417384952899</v>
      </c>
      <c r="H29">
        <v>0.47202112930536133</v>
      </c>
      <c r="I29">
        <v>0.47052418019885145</v>
      </c>
      <c r="J29">
        <v>0.43866274194953819</v>
      </c>
      <c r="K29">
        <v>0.43672423150918904</v>
      </c>
      <c r="L29">
        <v>0.41060996493295215</v>
      </c>
      <c r="M29">
        <v>0.40500701748027051</v>
      </c>
      <c r="N29">
        <v>0.40392110908938361</v>
      </c>
      <c r="O29">
        <v>0.38385547412325488</v>
      </c>
      <c r="P29">
        <v>0.35992824555900338</v>
      </c>
      <c r="Q29">
        <v>0.33329239295033247</v>
      </c>
      <c r="R29">
        <v>0.31891792071693725</v>
      </c>
      <c r="S29">
        <v>0.29135908851872044</v>
      </c>
      <c r="T29">
        <v>0.25720552377562167</v>
      </c>
      <c r="U29">
        <v>0.2233697717114532</v>
      </c>
      <c r="V29">
        <v>0.18650424523090603</v>
      </c>
    </row>
    <row r="60" spans="2:23" x14ac:dyDescent="0.25">
      <c r="B60" t="str">
        <f>CONCATENATE("N-S + Slip (Kn=",$E$5,")")</f>
        <v>N-S + Slip (Kn=2,35)</v>
      </c>
      <c r="C60">
        <f>-C$11*C$11+1/4+$E$5*$H$7</f>
        <v>2.9445100000000002</v>
      </c>
      <c r="D60">
        <f t="shared" ref="D60:W60" si="7">-D$11*D$11+1/4+$E$5*$H$7</f>
        <v>2.9438850000000003</v>
      </c>
      <c r="E60">
        <f t="shared" si="7"/>
        <v>2.9420100000000002</v>
      </c>
      <c r="F60">
        <f t="shared" si="7"/>
        <v>2.938885</v>
      </c>
      <c r="G60">
        <f t="shared" si="7"/>
        <v>2.9345100000000004</v>
      </c>
      <c r="H60">
        <f t="shared" si="7"/>
        <v>2.9288850000000002</v>
      </c>
      <c r="I60">
        <f t="shared" si="7"/>
        <v>2.9220100000000002</v>
      </c>
      <c r="J60">
        <f t="shared" si="7"/>
        <v>2.9138850000000001</v>
      </c>
      <c r="K60">
        <f t="shared" si="7"/>
        <v>2.9045100000000001</v>
      </c>
      <c r="L60">
        <f t="shared" si="7"/>
        <v>2.893885</v>
      </c>
      <c r="M60">
        <f t="shared" si="7"/>
        <v>2.8820100000000002</v>
      </c>
      <c r="N60">
        <f t="shared" si="7"/>
        <v>2.8688850000000001</v>
      </c>
      <c r="O60">
        <f t="shared" si="7"/>
        <v>2.8545100000000003</v>
      </c>
      <c r="P60">
        <f t="shared" si="7"/>
        <v>2.8388850000000003</v>
      </c>
      <c r="Q60">
        <f t="shared" si="7"/>
        <v>2.8220100000000001</v>
      </c>
      <c r="R60">
        <f t="shared" si="7"/>
        <v>2.8038850000000002</v>
      </c>
      <c r="S60">
        <f t="shared" si="7"/>
        <v>2.78451</v>
      </c>
      <c r="T60">
        <f t="shared" si="7"/>
        <v>2.7638850000000001</v>
      </c>
      <c r="U60">
        <f t="shared" si="7"/>
        <v>2.7420100000000001</v>
      </c>
      <c r="V60">
        <f t="shared" si="7"/>
        <v>2.7188850000000002</v>
      </c>
      <c r="W60">
        <f t="shared" si="7"/>
        <v>2.6945100000000002</v>
      </c>
    </row>
    <row r="61" spans="2:23" x14ac:dyDescent="0.25">
      <c r="B61" t="str">
        <f>CONCATENATE("Cercignani (Kn=",$E$5,")")</f>
        <v>Cercignani (Kn=2,35)</v>
      </c>
      <c r="C61">
        <f>-C$11*C$11+1/4+$E$5*$C$4+($D$4+$C$4^2)*($E$5)^2</f>
        <v>13.720626832999969</v>
      </c>
      <c r="D61">
        <f t="shared" ref="D61:W61" si="8">-D$11*D$11+1/4+$E$5*$C$4+($D$4+$C$4^2)*($E$5)^2</f>
        <v>13.720001832999969</v>
      </c>
      <c r="E61">
        <f t="shared" si="8"/>
        <v>13.718126832999969</v>
      </c>
      <c r="F61">
        <f t="shared" si="8"/>
        <v>13.71500183299997</v>
      </c>
      <c r="G61">
        <f t="shared" si="8"/>
        <v>13.710626832999971</v>
      </c>
      <c r="H61">
        <f t="shared" si="8"/>
        <v>13.705001832999969</v>
      </c>
      <c r="I61">
        <f t="shared" si="8"/>
        <v>13.69812683299997</v>
      </c>
      <c r="J61">
        <f t="shared" si="8"/>
        <v>13.69000183299997</v>
      </c>
      <c r="K61">
        <f t="shared" si="8"/>
        <v>13.68062683299997</v>
      </c>
      <c r="L61">
        <f t="shared" si="8"/>
        <v>13.670001832999969</v>
      </c>
      <c r="M61">
        <f t="shared" si="8"/>
        <v>13.658126832999969</v>
      </c>
      <c r="N61">
        <f t="shared" si="8"/>
        <v>13.64500183299997</v>
      </c>
      <c r="O61">
        <f t="shared" si="8"/>
        <v>13.630626832999969</v>
      </c>
      <c r="P61">
        <f t="shared" si="8"/>
        <v>13.615001832999969</v>
      </c>
      <c r="Q61">
        <f t="shared" si="8"/>
        <v>13.59812683299997</v>
      </c>
      <c r="R61">
        <f t="shared" si="8"/>
        <v>13.580001832999969</v>
      </c>
      <c r="S61">
        <f t="shared" si="8"/>
        <v>13.560626832999969</v>
      </c>
      <c r="T61">
        <f t="shared" si="8"/>
        <v>13.54000183299997</v>
      </c>
      <c r="U61">
        <f t="shared" si="8"/>
        <v>13.51812683299997</v>
      </c>
      <c r="V61">
        <f t="shared" si="8"/>
        <v>13.49500183299997</v>
      </c>
      <c r="W61">
        <f t="shared" si="8"/>
        <v>13.470626832999969</v>
      </c>
    </row>
    <row r="62" spans="2:23" x14ac:dyDescent="0.25">
      <c r="B62" t="str">
        <f>CONCATENATE("EDMD (Kn=",$E$5,")")</f>
        <v>EDMD (Kn=2,35)</v>
      </c>
      <c r="C62">
        <v>4.0605025319637136</v>
      </c>
      <c r="D62">
        <v>4.2898686548269271</v>
      </c>
      <c r="E62">
        <v>4.3698501149910722</v>
      </c>
      <c r="F62">
        <v>4.0699856627271922</v>
      </c>
      <c r="G62">
        <v>4.1445056398600082</v>
      </c>
      <c r="H62">
        <v>4.2882307013642578</v>
      </c>
      <c r="I62">
        <v>4.0471696117972913</v>
      </c>
      <c r="J62">
        <v>3.985599330000166</v>
      </c>
      <c r="K62">
        <v>4.3553091240267934</v>
      </c>
      <c r="L62">
        <v>3.9500236048691169</v>
      </c>
      <c r="M62">
        <v>3.864181879297345</v>
      </c>
      <c r="N62">
        <v>3.8016111925508036</v>
      </c>
      <c r="O62">
        <v>3.5545658064874583</v>
      </c>
      <c r="P62">
        <v>3.8305866844862275</v>
      </c>
      <c r="Q62">
        <v>3.3878073769016237</v>
      </c>
      <c r="R62">
        <v>3.5033747167888794</v>
      </c>
      <c r="S62">
        <v>3.3212124963736129</v>
      </c>
      <c r="T62">
        <v>3.2662897865263578</v>
      </c>
      <c r="U62">
        <v>3.1019125643711294</v>
      </c>
      <c r="V62">
        <v>2.8489732369570961</v>
      </c>
    </row>
    <row r="64" spans="2:23" x14ac:dyDescent="0.25">
      <c r="F64" t="s">
        <v>66</v>
      </c>
      <c r="G64">
        <f>J68/SQRT(2)/PI()/J69/J69</f>
        <v>9.0269614817430684E-8</v>
      </c>
    </row>
    <row r="65" spans="2:20" x14ac:dyDescent="0.25">
      <c r="F65" t="s">
        <v>25</v>
      </c>
      <c r="G65">
        <v>2000</v>
      </c>
    </row>
    <row r="66" spans="2:20" x14ac:dyDescent="0.25">
      <c r="F66" t="s">
        <v>65</v>
      </c>
      <c r="G66">
        <v>1000</v>
      </c>
    </row>
    <row r="67" spans="2:20" x14ac:dyDescent="0.25">
      <c r="B67" t="s">
        <v>62</v>
      </c>
    </row>
    <row r="68" spans="2:20" ht="13.8" x14ac:dyDescent="0.3">
      <c r="B68" t="s">
        <v>67</v>
      </c>
      <c r="C68" t="s">
        <v>11</v>
      </c>
      <c r="D68" t="s">
        <v>64</v>
      </c>
      <c r="E68" t="s">
        <v>31</v>
      </c>
      <c r="F68" t="s">
        <v>34</v>
      </c>
      <c r="G68" t="s">
        <v>63</v>
      </c>
      <c r="I68" t="s">
        <v>18</v>
      </c>
      <c r="J68">
        <f>0.032/6.022/1000</f>
        <v>5.3138492195283959E-6</v>
      </c>
      <c r="K68" t="s">
        <v>21</v>
      </c>
      <c r="N68" t="s">
        <v>223</v>
      </c>
      <c r="O68" t="s">
        <v>225</v>
      </c>
      <c r="Q68" t="s">
        <v>224</v>
      </c>
      <c r="R68" t="s">
        <v>153</v>
      </c>
      <c r="S68" t="s">
        <v>154</v>
      </c>
    </row>
    <row r="69" spans="2:20" x14ac:dyDescent="0.25">
      <c r="B69">
        <f t="shared" ref="B69:B77" si="9">1/C69</f>
        <v>5.5555555555555554</v>
      </c>
      <c r="C69">
        <v>0.18</v>
      </c>
      <c r="D69">
        <v>5.4350000000000004E-4</v>
      </c>
      <c r="E69">
        <v>2.4900000000000002</v>
      </c>
      <c r="F69">
        <v>5.7872667830358751</v>
      </c>
      <c r="G69">
        <f t="shared" ref="G69:G77" si="10">D69/F69/$G$66/$G$64*2</f>
        <v>2.0807238810267474</v>
      </c>
      <c r="I69" t="s">
        <v>19</v>
      </c>
      <c r="J69">
        <v>3.64</v>
      </c>
      <c r="K69" t="s">
        <v>20</v>
      </c>
      <c r="N69">
        <f t="shared" ref="N69:N82" si="11">1/6*P69</f>
        <v>1.6666666666666666E-3</v>
      </c>
      <c r="O69">
        <f>1/6*P69+$E$7+$F$8/P69</f>
        <v>136.76262419315043</v>
      </c>
      <c r="P69">
        <v>0.01</v>
      </c>
      <c r="Q69">
        <f>P69/6+$E$7</f>
        <v>1.1482666666666668</v>
      </c>
      <c r="R69">
        <f>1/6*P69+$E$7+$F$8/P69</f>
        <v>136.76262419315043</v>
      </c>
      <c r="S69">
        <f>-0.5*LN(SQRT(PI())/2*T69)</f>
        <v>3.5142687583086913</v>
      </c>
      <c r="T69">
        <v>1E-3</v>
      </c>
    </row>
    <row r="70" spans="2:20" x14ac:dyDescent="0.25">
      <c r="B70">
        <f t="shared" si="9"/>
        <v>2.7027027027027026</v>
      </c>
      <c r="C70">
        <v>0.37</v>
      </c>
      <c r="D70">
        <v>5.1250000000000004E-4</v>
      </c>
      <c r="E70">
        <v>1.21</v>
      </c>
      <c r="F70">
        <v>6.4633298841786653</v>
      </c>
      <c r="G70">
        <f t="shared" si="10"/>
        <v>1.7568146869216643</v>
      </c>
      <c r="I70" t="s">
        <v>22</v>
      </c>
      <c r="J70">
        <f>1.38/J68/1000</f>
        <v>259.69874999999996</v>
      </c>
      <c r="N70">
        <f t="shared" si="11"/>
        <v>3.3333333333333331E-3</v>
      </c>
      <c r="O70">
        <f t="shared" ref="O70:O133" si="12">1/6*P70+$E$7+$F$8/P70</f>
        <v>68.957112096575216</v>
      </c>
      <c r="P70">
        <v>0.02</v>
      </c>
      <c r="Q70">
        <f t="shared" ref="Q70:Q133" si="13">P70/6+$E$7</f>
        <v>1.1499333333333335</v>
      </c>
      <c r="R70">
        <f t="shared" ref="R70:R133" si="14">1/6*P70+$E$7+$F$8/P70</f>
        <v>68.957112096575216</v>
      </c>
      <c r="S70">
        <f t="shared" ref="S70:S78" si="15">-0.5*LN(SQRT(PI())/2*T70)</f>
        <v>3.1676951680287186</v>
      </c>
      <c r="T70">
        <v>2E-3</v>
      </c>
    </row>
    <row r="71" spans="2:20" x14ac:dyDescent="0.25">
      <c r="B71">
        <f t="shared" si="9"/>
        <v>1.1111111111111112</v>
      </c>
      <c r="C71">
        <v>0.9</v>
      </c>
      <c r="D71">
        <v>4.9100000000000001E-4</v>
      </c>
      <c r="E71">
        <v>0.44900000000000001</v>
      </c>
      <c r="F71">
        <v>6.6429715992046043</v>
      </c>
      <c r="G71">
        <f t="shared" si="10"/>
        <v>1.6375987674059977</v>
      </c>
      <c r="I71" t="s">
        <v>17</v>
      </c>
      <c r="J71">
        <f>5/16*J68/J69/J69*SQRT(J70*J72/PI())</f>
        <v>1.9736816446243676E-5</v>
      </c>
      <c r="L71">
        <f>2052*10^(-8)</f>
        <v>2.052E-5</v>
      </c>
      <c r="N71">
        <f t="shared" si="11"/>
        <v>4.9999999999999992E-3</v>
      </c>
      <c r="O71">
        <f t="shared" si="12"/>
        <v>46.356385842161259</v>
      </c>
      <c r="P71">
        <v>0.03</v>
      </c>
      <c r="Q71">
        <f t="shared" si="13"/>
        <v>1.1516</v>
      </c>
      <c r="R71">
        <f t="shared" si="14"/>
        <v>46.356385842161259</v>
      </c>
      <c r="S71">
        <f t="shared" si="15"/>
        <v>2.9649626139746363</v>
      </c>
      <c r="T71">
        <v>3.0000000000000001E-3</v>
      </c>
    </row>
    <row r="72" spans="2:20" x14ac:dyDescent="0.25">
      <c r="B72">
        <f t="shared" si="9"/>
        <v>0.42553191489361702</v>
      </c>
      <c r="C72">
        <v>2.35</v>
      </c>
      <c r="D72">
        <v>4.9049999999999994E-4</v>
      </c>
      <c r="E72">
        <v>0.192</v>
      </c>
      <c r="F72">
        <v>6.7555643381741737</v>
      </c>
      <c r="G72">
        <f t="shared" si="10"/>
        <v>1.6086656323606883</v>
      </c>
      <c r="I72" t="s">
        <v>23</v>
      </c>
      <c r="J72">
        <v>300</v>
      </c>
      <c r="N72">
        <f t="shared" si="11"/>
        <v>6.6666666666666662E-3</v>
      </c>
      <c r="O72">
        <f t="shared" si="12"/>
        <v>35.056856048287607</v>
      </c>
      <c r="P72">
        <v>0.04</v>
      </c>
      <c r="Q72">
        <f t="shared" si="13"/>
        <v>1.1532666666666667</v>
      </c>
      <c r="R72">
        <f t="shared" si="14"/>
        <v>35.056856048287607</v>
      </c>
      <c r="S72">
        <f t="shared" si="15"/>
        <v>2.8211215777487459</v>
      </c>
      <c r="T72">
        <v>4.0000000000000001E-3</v>
      </c>
    </row>
    <row r="73" spans="2:20" x14ac:dyDescent="0.25">
      <c r="B73">
        <f t="shared" si="9"/>
        <v>0.25634452704434763</v>
      </c>
      <c r="C73">
        <v>3.9009999999999998</v>
      </c>
      <c r="D73">
        <v>9.9000000000000008E-5</v>
      </c>
      <c r="E73">
        <v>0.1157</v>
      </c>
      <c r="F73">
        <v>1.3262523908703558</v>
      </c>
      <c r="G73">
        <f t="shared" si="10"/>
        <v>1.6538549639950826</v>
      </c>
      <c r="I73" t="s">
        <v>25</v>
      </c>
      <c r="J73">
        <v>2000</v>
      </c>
      <c r="N73">
        <f t="shared" si="11"/>
        <v>8.3333333333333332E-3</v>
      </c>
      <c r="O73">
        <f t="shared" si="12"/>
        <v>28.277804838630082</v>
      </c>
      <c r="P73">
        <v>0.05</v>
      </c>
      <c r="Q73">
        <f t="shared" si="13"/>
        <v>1.1549333333333334</v>
      </c>
      <c r="R73">
        <f t="shared" si="14"/>
        <v>28.277804838630082</v>
      </c>
      <c r="S73">
        <f t="shared" si="15"/>
        <v>2.7095498020916411</v>
      </c>
      <c r="T73">
        <v>5.0000000000000001E-3</v>
      </c>
    </row>
    <row r="74" spans="2:20" x14ac:dyDescent="0.25">
      <c r="B74">
        <f t="shared" si="9"/>
        <v>0.22156245845703904</v>
      </c>
      <c r="C74">
        <v>4.5133999999999999</v>
      </c>
      <c r="D74">
        <v>1.0300000000000001E-4</v>
      </c>
      <c r="E74">
        <v>0.1</v>
      </c>
      <c r="F74">
        <v>1.3520924244638712</v>
      </c>
      <c r="G74">
        <f t="shared" si="10"/>
        <v>1.6877932727432217</v>
      </c>
      <c r="I74" t="s">
        <v>47</v>
      </c>
      <c r="J74">
        <f>J79*J70*J72</f>
        <v>350.59331249999991</v>
      </c>
      <c r="K74" t="s">
        <v>43</v>
      </c>
      <c r="N74">
        <f t="shared" si="11"/>
        <v>9.9999999999999985E-3</v>
      </c>
      <c r="O74">
        <f t="shared" si="12"/>
        <v>23.75899292108063</v>
      </c>
      <c r="P74">
        <v>0.06</v>
      </c>
      <c r="Q74">
        <f t="shared" si="13"/>
        <v>1.1566000000000001</v>
      </c>
      <c r="R74">
        <f t="shared" si="14"/>
        <v>23.75899292108063</v>
      </c>
      <c r="S74">
        <f t="shared" si="15"/>
        <v>2.6183890236946636</v>
      </c>
      <c r="T74">
        <v>6.0000000000000001E-3</v>
      </c>
    </row>
    <row r="75" spans="2:20" x14ac:dyDescent="0.25">
      <c r="B75">
        <f t="shared" si="9"/>
        <v>0.19853087155052612</v>
      </c>
      <c r="C75">
        <v>5.0369999999999999</v>
      </c>
      <c r="D75">
        <v>1E-4</v>
      </c>
      <c r="E75">
        <v>8.9599999999999999E-2</v>
      </c>
      <c r="F75">
        <v>1.3601146571154494</v>
      </c>
      <c r="G75">
        <f t="shared" si="10"/>
        <v>1.6289692475975559</v>
      </c>
      <c r="I75" t="s">
        <v>27</v>
      </c>
      <c r="J75" s="8">
        <v>1.7522000000000015E-3</v>
      </c>
      <c r="K75" t="s">
        <v>51</v>
      </c>
      <c r="N75">
        <f t="shared" si="11"/>
        <v>1.1666666666666667E-2</v>
      </c>
      <c r="O75">
        <f t="shared" si="12"/>
        <v>20.531746313307202</v>
      </c>
      <c r="P75">
        <v>7.0000000000000007E-2</v>
      </c>
      <c r="Q75">
        <f t="shared" si="13"/>
        <v>1.1582666666666668</v>
      </c>
      <c r="R75">
        <f t="shared" si="14"/>
        <v>20.531746313307202</v>
      </c>
      <c r="S75">
        <f t="shared" si="15"/>
        <v>2.5413136837810346</v>
      </c>
      <c r="T75">
        <v>7.0000000000000001E-3</v>
      </c>
    </row>
    <row r="76" spans="2:20" x14ac:dyDescent="0.25">
      <c r="B76">
        <f t="shared" si="9"/>
        <v>0.17060188344479324</v>
      </c>
      <c r="C76">
        <v>5.8616000000000001</v>
      </c>
      <c r="D76">
        <v>9.5999999999999989E-5</v>
      </c>
      <c r="E76">
        <v>7.6999999999999999E-2</v>
      </c>
      <c r="F76">
        <v>1.4051799008880232</v>
      </c>
      <c r="G76">
        <f t="shared" si="10"/>
        <v>1.5136578243950738</v>
      </c>
      <c r="I76" t="s">
        <v>28</v>
      </c>
      <c r="J76">
        <v>49000</v>
      </c>
      <c r="K76" t="s">
        <v>20</v>
      </c>
      <c r="N76">
        <f t="shared" si="11"/>
        <v>1.3333333333333332E-2</v>
      </c>
      <c r="O76">
        <f t="shared" si="12"/>
        <v>18.111728024143805</v>
      </c>
      <c r="P76">
        <v>0.08</v>
      </c>
      <c r="Q76">
        <f t="shared" si="13"/>
        <v>1.1599333333333335</v>
      </c>
      <c r="R76">
        <f t="shared" si="14"/>
        <v>18.111728024143805</v>
      </c>
      <c r="S76">
        <f t="shared" si="15"/>
        <v>2.4745479874687732</v>
      </c>
      <c r="T76">
        <v>8.0000000000000002E-3</v>
      </c>
    </row>
    <row r="77" spans="2:20" x14ac:dyDescent="0.25">
      <c r="B77">
        <f t="shared" si="9"/>
        <v>0.14247043738424275</v>
      </c>
      <c r="C77">
        <v>7.0190000000000001</v>
      </c>
      <c r="D77">
        <v>9.7999999999999997E-5</v>
      </c>
      <c r="E77">
        <v>5.1380000000000002E-2</v>
      </c>
      <c r="F77">
        <v>1.3922824026390563</v>
      </c>
      <c r="G77">
        <f t="shared" si="10"/>
        <v>1.559506351972259</v>
      </c>
      <c r="I77" t="s">
        <v>26</v>
      </c>
      <c r="J77">
        <f>J75/J76*10^15</f>
        <v>35759183.673469417</v>
      </c>
      <c r="K77" t="s">
        <v>45</v>
      </c>
      <c r="N77">
        <f t="shared" si="11"/>
        <v>1.4999999999999999E-2</v>
      </c>
      <c r="O77">
        <f t="shared" si="12"/>
        <v>16.229861947387086</v>
      </c>
      <c r="P77">
        <v>0.09</v>
      </c>
      <c r="Q77">
        <f t="shared" si="13"/>
        <v>1.1616</v>
      </c>
      <c r="R77">
        <f t="shared" si="14"/>
        <v>16.229861947387086</v>
      </c>
      <c r="S77">
        <f t="shared" si="15"/>
        <v>2.4156564696405813</v>
      </c>
      <c r="T77">
        <v>8.9999999999999993E-3</v>
      </c>
    </row>
    <row r="78" spans="2:20" x14ac:dyDescent="0.25">
      <c r="I78" t="s">
        <v>34</v>
      </c>
      <c r="J78" s="10">
        <f>J77/2/J71*J73*J73*10^(-20)</f>
        <v>3.6236019898006525E-2</v>
      </c>
      <c r="L78">
        <f>J77/2/L71*J73*J73*10^(-20)</f>
        <v>3.4853005529697285E-2</v>
      </c>
      <c r="N78">
        <f t="shared" si="11"/>
        <v>1.6666666666666666E-2</v>
      </c>
      <c r="O78">
        <f t="shared" si="12"/>
        <v>14.724702419315042</v>
      </c>
      <c r="P78">
        <v>0.1</v>
      </c>
      <c r="Q78">
        <f t="shared" si="13"/>
        <v>1.1632666666666667</v>
      </c>
      <c r="R78">
        <f t="shared" si="14"/>
        <v>14.724702419315042</v>
      </c>
      <c r="S78">
        <f t="shared" si="15"/>
        <v>2.3629762118116684</v>
      </c>
      <c r="T78">
        <v>0.01</v>
      </c>
    </row>
    <row r="79" spans="2:20" x14ac:dyDescent="0.25">
      <c r="I79" t="s">
        <v>31</v>
      </c>
      <c r="J79" s="8">
        <v>4.4999999999999997E-3</v>
      </c>
      <c r="K79">
        <v>1.25</v>
      </c>
      <c r="L79">
        <v>1.177</v>
      </c>
      <c r="N79">
        <f t="shared" si="11"/>
        <v>1.9999999999999997E-2</v>
      </c>
      <c r="O79">
        <f t="shared" si="12"/>
        <v>12.467796460540315</v>
      </c>
      <c r="P79">
        <v>0.12</v>
      </c>
      <c r="Q79">
        <f t="shared" si="13"/>
        <v>1.1666000000000001</v>
      </c>
      <c r="R79">
        <f t="shared" si="14"/>
        <v>12.467796460540315</v>
      </c>
    </row>
    <row r="80" spans="2:20" x14ac:dyDescent="0.25">
      <c r="J80" t="s">
        <v>52</v>
      </c>
      <c r="N80">
        <f t="shared" si="11"/>
        <v>2.3333333333333334E-2</v>
      </c>
      <c r="O80">
        <f t="shared" si="12"/>
        <v>10.856673156653601</v>
      </c>
      <c r="P80">
        <v>0.14000000000000001</v>
      </c>
      <c r="Q80">
        <f t="shared" si="13"/>
        <v>1.1699333333333335</v>
      </c>
      <c r="R80">
        <f t="shared" si="14"/>
        <v>10.856673156653601</v>
      </c>
    </row>
    <row r="81" spans="9:18" x14ac:dyDescent="0.25">
      <c r="I81" t="s">
        <v>32</v>
      </c>
      <c r="J81">
        <f>1/(SQRT(2)*PI()*$J69*$J69*J79/$J68)</f>
        <v>2.0059914403873487E-5</v>
      </c>
      <c r="N81">
        <f t="shared" si="11"/>
        <v>2.6666666666666665E-2</v>
      </c>
      <c r="O81">
        <f t="shared" si="12"/>
        <v>9.6491640120719016</v>
      </c>
      <c r="P81">
        <v>0.16</v>
      </c>
      <c r="Q81">
        <f t="shared" si="13"/>
        <v>1.1732666666666667</v>
      </c>
      <c r="R81">
        <f t="shared" si="14"/>
        <v>9.6491640120719016</v>
      </c>
    </row>
    <row r="82" spans="9:18" x14ac:dyDescent="0.25">
      <c r="I82" t="s">
        <v>11</v>
      </c>
      <c r="J82" s="10">
        <f>J81/$J73*10^10</f>
        <v>100.29957201936743</v>
      </c>
      <c r="N82">
        <f t="shared" si="11"/>
        <v>3.3333333333333333E-2</v>
      </c>
      <c r="O82">
        <f t="shared" si="12"/>
        <v>7.960651209657521</v>
      </c>
      <c r="P82">
        <v>0.2</v>
      </c>
      <c r="Q82">
        <f t="shared" si="13"/>
        <v>1.1799333333333335</v>
      </c>
      <c r="R82">
        <f t="shared" si="14"/>
        <v>7.960651209657521</v>
      </c>
    </row>
    <row r="83" spans="9:18" x14ac:dyDescent="0.25">
      <c r="I83" t="s">
        <v>38</v>
      </c>
      <c r="J83">
        <v>1000</v>
      </c>
      <c r="K83" t="s">
        <v>10</v>
      </c>
      <c r="N83">
        <f>1/6*P83</f>
        <v>4.1666666666666664E-2</v>
      </c>
      <c r="O83">
        <f>1/6*P83+$E$7+$F$8/P83</f>
        <v>6.6128409677260169</v>
      </c>
      <c r="P83">
        <v>0.25</v>
      </c>
      <c r="Q83">
        <f t="shared" si="13"/>
        <v>1.1882666666666668</v>
      </c>
      <c r="R83">
        <f t="shared" si="14"/>
        <v>6.6128409677260169</v>
      </c>
    </row>
    <row r="84" spans="9:18" x14ac:dyDescent="0.25">
      <c r="I84" t="s">
        <v>39</v>
      </c>
      <c r="J84">
        <v>1000</v>
      </c>
      <c r="K84" t="s">
        <v>10</v>
      </c>
      <c r="N84">
        <f t="shared" ref="N84:N146" si="16">1/6*P84</f>
        <v>8.3333333333333329E-2</v>
      </c>
      <c r="O84">
        <f t="shared" si="12"/>
        <v>3.9422204838630086</v>
      </c>
      <c r="P84">
        <v>0.5</v>
      </c>
      <c r="Q84">
        <f t="shared" si="13"/>
        <v>1.2299333333333333</v>
      </c>
      <c r="R84">
        <f t="shared" si="14"/>
        <v>3.9422204838630086</v>
      </c>
    </row>
    <row r="85" spans="9:18" x14ac:dyDescent="0.25">
      <c r="I85" t="s">
        <v>40</v>
      </c>
      <c r="J85">
        <v>200</v>
      </c>
      <c r="K85" t="s">
        <v>41</v>
      </c>
      <c r="N85">
        <f t="shared" si="16"/>
        <v>0.125</v>
      </c>
      <c r="O85">
        <f t="shared" si="12"/>
        <v>3.0797914336864505</v>
      </c>
      <c r="P85">
        <v>0.75</v>
      </c>
      <c r="Q85">
        <f t="shared" si="13"/>
        <v>1.2716000000000001</v>
      </c>
      <c r="R85">
        <f t="shared" si="14"/>
        <v>3.0797914336864505</v>
      </c>
    </row>
    <row r="86" spans="9:18" x14ac:dyDescent="0.25">
      <c r="I86" t="s">
        <v>12</v>
      </c>
      <c r="J86">
        <v>1</v>
      </c>
      <c r="N86">
        <f t="shared" si="16"/>
        <v>0.16666666666666666</v>
      </c>
      <c r="O86">
        <f t="shared" si="12"/>
        <v>2.6694102419315042</v>
      </c>
      <c r="P86">
        <v>1</v>
      </c>
      <c r="Q86">
        <f t="shared" si="13"/>
        <v>1.3132666666666668</v>
      </c>
      <c r="R86">
        <f t="shared" si="14"/>
        <v>2.6694102419315042</v>
      </c>
    </row>
    <row r="87" spans="9:18" x14ac:dyDescent="0.25">
      <c r="N87">
        <f t="shared" si="16"/>
        <v>0.20833333333333331</v>
      </c>
      <c r="O87">
        <f t="shared" si="12"/>
        <v>2.4398481935452034</v>
      </c>
      <c r="P87">
        <v>1.25</v>
      </c>
      <c r="Q87">
        <f t="shared" si="13"/>
        <v>1.3549333333333333</v>
      </c>
      <c r="R87">
        <f t="shared" si="14"/>
        <v>2.4398481935452034</v>
      </c>
    </row>
    <row r="88" spans="9:18" x14ac:dyDescent="0.25">
      <c r="N88">
        <f t="shared" si="16"/>
        <v>0.25</v>
      </c>
      <c r="O88">
        <f t="shared" si="12"/>
        <v>2.3006957168432249</v>
      </c>
      <c r="P88">
        <v>1.5</v>
      </c>
      <c r="Q88">
        <f t="shared" si="13"/>
        <v>1.3966000000000001</v>
      </c>
      <c r="R88">
        <f t="shared" si="14"/>
        <v>2.3006957168432249</v>
      </c>
    </row>
    <row r="89" spans="9:18" x14ac:dyDescent="0.25">
      <c r="N89">
        <f t="shared" si="16"/>
        <v>0.29166666666666663</v>
      </c>
      <c r="O89">
        <f t="shared" si="12"/>
        <v>2.2132058525322882</v>
      </c>
      <c r="P89">
        <v>1.75</v>
      </c>
      <c r="Q89">
        <f t="shared" si="13"/>
        <v>1.4382666666666668</v>
      </c>
      <c r="R89">
        <f t="shared" si="14"/>
        <v>2.2132058525322882</v>
      </c>
    </row>
    <row r="90" spans="9:18" x14ac:dyDescent="0.25">
      <c r="N90">
        <f t="shared" si="16"/>
        <v>0.33333333333333331</v>
      </c>
      <c r="O90">
        <f t="shared" si="12"/>
        <v>2.1580051209657523</v>
      </c>
      <c r="P90">
        <v>2</v>
      </c>
      <c r="Q90">
        <f t="shared" si="13"/>
        <v>1.4799333333333333</v>
      </c>
      <c r="R90">
        <f t="shared" si="14"/>
        <v>2.1580051209657523</v>
      </c>
    </row>
    <row r="91" spans="9:18" x14ac:dyDescent="0.25">
      <c r="N91">
        <f t="shared" si="16"/>
        <v>0.375</v>
      </c>
      <c r="O91">
        <f t="shared" si="12"/>
        <v>2.1243304778954837</v>
      </c>
      <c r="P91">
        <v>2.25</v>
      </c>
      <c r="Q91">
        <f t="shared" si="13"/>
        <v>1.5216000000000001</v>
      </c>
      <c r="R91">
        <f t="shared" si="14"/>
        <v>2.1243304778954837</v>
      </c>
    </row>
    <row r="92" spans="9:18" x14ac:dyDescent="0.25">
      <c r="N92">
        <f t="shared" si="16"/>
        <v>0.41666666666666663</v>
      </c>
      <c r="O92">
        <f t="shared" si="12"/>
        <v>2.1057240967726019</v>
      </c>
      <c r="P92">
        <v>2.5</v>
      </c>
      <c r="Q92">
        <f t="shared" si="13"/>
        <v>1.5632666666666668</v>
      </c>
      <c r="R92">
        <f t="shared" si="14"/>
        <v>2.1057240967726019</v>
      </c>
    </row>
    <row r="93" spans="9:18" x14ac:dyDescent="0.25">
      <c r="N93">
        <f t="shared" si="16"/>
        <v>0.45833333333333331</v>
      </c>
      <c r="O93">
        <f t="shared" si="12"/>
        <v>2.0980764516114561</v>
      </c>
      <c r="P93">
        <v>2.75</v>
      </c>
      <c r="Q93">
        <f t="shared" si="13"/>
        <v>1.6049333333333333</v>
      </c>
      <c r="R93">
        <f t="shared" si="14"/>
        <v>2.0980764516114561</v>
      </c>
    </row>
    <row r="94" spans="9:18" x14ac:dyDescent="0.25">
      <c r="N94">
        <f t="shared" si="16"/>
        <v>0.5</v>
      </c>
      <c r="O94">
        <f t="shared" si="12"/>
        <v>2.0986478584216126</v>
      </c>
      <c r="P94">
        <v>3</v>
      </c>
      <c r="Q94">
        <f t="shared" si="13"/>
        <v>1.6466000000000001</v>
      </c>
      <c r="R94">
        <f t="shared" si="14"/>
        <v>2.0986478584216126</v>
      </c>
    </row>
    <row r="95" spans="9:18" x14ac:dyDescent="0.25">
      <c r="N95">
        <f t="shared" si="16"/>
        <v>0.54166666666666663</v>
      </c>
      <c r="O95">
        <f t="shared" si="12"/>
        <v>2.1055416129020017</v>
      </c>
      <c r="P95">
        <v>3.25</v>
      </c>
      <c r="Q95">
        <f t="shared" si="13"/>
        <v>1.6882666666666668</v>
      </c>
      <c r="R95">
        <f t="shared" si="14"/>
        <v>2.1055416129020017</v>
      </c>
    </row>
    <row r="96" spans="9:18" x14ac:dyDescent="0.25">
      <c r="N96">
        <f t="shared" si="16"/>
        <v>0.58333333333333326</v>
      </c>
      <c r="O96">
        <f t="shared" si="12"/>
        <v>2.117402926266144</v>
      </c>
      <c r="P96">
        <v>3.5</v>
      </c>
      <c r="Q96">
        <f t="shared" si="13"/>
        <v>1.7299333333333333</v>
      </c>
      <c r="R96">
        <f t="shared" si="14"/>
        <v>2.117402926266144</v>
      </c>
    </row>
    <row r="97" spans="2:18" x14ac:dyDescent="0.25">
      <c r="N97">
        <f t="shared" si="16"/>
        <v>0.625</v>
      </c>
      <c r="O97">
        <f t="shared" si="12"/>
        <v>2.1332382867372903</v>
      </c>
      <c r="P97">
        <v>3.75</v>
      </c>
      <c r="Q97">
        <f t="shared" si="13"/>
        <v>1.7716000000000001</v>
      </c>
      <c r="R97">
        <f t="shared" si="14"/>
        <v>2.1332382867372903</v>
      </c>
    </row>
    <row r="98" spans="2:18" x14ac:dyDescent="0.25">
      <c r="N98">
        <f t="shared" si="16"/>
        <v>0.66666666666666663</v>
      </c>
      <c r="O98">
        <f t="shared" si="12"/>
        <v>2.1523025604828763</v>
      </c>
      <c r="P98">
        <v>4</v>
      </c>
      <c r="Q98">
        <f t="shared" si="13"/>
        <v>1.8132666666666668</v>
      </c>
      <c r="R98">
        <f t="shared" si="14"/>
        <v>2.1523025604828763</v>
      </c>
    </row>
    <row r="99" spans="2:18" x14ac:dyDescent="0.25">
      <c r="N99">
        <f t="shared" si="16"/>
        <v>0.70833333333333326</v>
      </c>
      <c r="O99">
        <f t="shared" si="12"/>
        <v>2.174025939278001</v>
      </c>
      <c r="P99">
        <v>4.25</v>
      </c>
      <c r="Q99">
        <f t="shared" si="13"/>
        <v>1.8549333333333333</v>
      </c>
      <c r="R99">
        <f t="shared" si="14"/>
        <v>2.174025939278001</v>
      </c>
    </row>
    <row r="100" spans="2:18" x14ac:dyDescent="0.25">
      <c r="N100">
        <f t="shared" si="16"/>
        <v>0.75</v>
      </c>
      <c r="O100">
        <f t="shared" si="12"/>
        <v>2.1979652389477415</v>
      </c>
      <c r="P100">
        <v>4.5</v>
      </c>
      <c r="Q100">
        <f t="shared" si="13"/>
        <v>1.8966000000000001</v>
      </c>
      <c r="R100">
        <f t="shared" si="14"/>
        <v>2.1979652389477415</v>
      </c>
    </row>
    <row r="101" spans="2:18" x14ac:dyDescent="0.25">
      <c r="N101">
        <f t="shared" si="16"/>
        <v>0.79166666666666663</v>
      </c>
      <c r="O101">
        <f t="shared" si="12"/>
        <v>2.2237705772487377</v>
      </c>
      <c r="P101">
        <v>4.75</v>
      </c>
      <c r="Q101">
        <f t="shared" si="13"/>
        <v>1.9382666666666668</v>
      </c>
      <c r="R101">
        <f t="shared" si="14"/>
        <v>2.2237705772487377</v>
      </c>
    </row>
    <row r="102" spans="2:18" ht="13.8" x14ac:dyDescent="0.3">
      <c r="B102" t="s">
        <v>226</v>
      </c>
      <c r="C102" t="s">
        <v>69</v>
      </c>
      <c r="D102" t="s">
        <v>70</v>
      </c>
      <c r="E102" t="s">
        <v>67</v>
      </c>
      <c r="N102">
        <f t="shared" si="16"/>
        <v>0.83333333333333326</v>
      </c>
      <c r="O102">
        <f t="shared" si="12"/>
        <v>2.2511620483863011</v>
      </c>
      <c r="P102">
        <v>5</v>
      </c>
      <c r="Q102">
        <f t="shared" si="13"/>
        <v>1.9799333333333333</v>
      </c>
      <c r="R102">
        <f t="shared" si="14"/>
        <v>2.2511620483863011</v>
      </c>
    </row>
    <row r="103" spans="2:18" x14ac:dyDescent="0.25">
      <c r="B103">
        <v>3.0489000000000002</v>
      </c>
      <c r="C103">
        <v>0.01</v>
      </c>
      <c r="D103">
        <f>B103*2/SQRT(PI())</f>
        <v>3.4403152425575088</v>
      </c>
      <c r="E103">
        <f>C103*2/SQRT(PI())</f>
        <v>1.1283791670955126E-2</v>
      </c>
      <c r="N103">
        <f t="shared" si="16"/>
        <v>0.875</v>
      </c>
      <c r="O103">
        <f t="shared" si="12"/>
        <v>2.2799130619552073</v>
      </c>
      <c r="P103">
        <v>5.25</v>
      </c>
      <c r="Q103">
        <f t="shared" si="13"/>
        <v>2.0216000000000003</v>
      </c>
      <c r="R103">
        <f t="shared" si="14"/>
        <v>2.2799130619552073</v>
      </c>
    </row>
    <row r="104" spans="2:18" x14ac:dyDescent="0.25">
      <c r="B104">
        <v>2.7107000000000001</v>
      </c>
      <c r="C104">
        <v>0.02</v>
      </c>
      <c r="D104">
        <f t="shared" ref="D104:D148" si="17">B104*2/SQRT(PI())</f>
        <v>3.0586974082458065</v>
      </c>
      <c r="E104">
        <f t="shared" ref="E104:E148" si="18">C104*2/SQRT(PI())</f>
        <v>2.2567583341910252E-2</v>
      </c>
      <c r="N104">
        <f t="shared" si="16"/>
        <v>0.91666666666666663</v>
      </c>
      <c r="O104">
        <f t="shared" si="12"/>
        <v>2.3098382258057284</v>
      </c>
      <c r="P104">
        <v>5.5</v>
      </c>
      <c r="Q104">
        <f t="shared" si="13"/>
        <v>2.0632666666666668</v>
      </c>
      <c r="R104">
        <f t="shared" si="14"/>
        <v>2.3098382258057284</v>
      </c>
    </row>
    <row r="105" spans="2:18" x14ac:dyDescent="0.25">
      <c r="B105">
        <v>2.5234000000000001</v>
      </c>
      <c r="C105">
        <v>0.03</v>
      </c>
      <c r="D105">
        <f t="shared" si="17"/>
        <v>2.8473519902488169</v>
      </c>
      <c r="E105">
        <f t="shared" si="18"/>
        <v>3.3851375012865378E-2</v>
      </c>
      <c r="N105">
        <f t="shared" si="16"/>
        <v>0.95833333333333326</v>
      </c>
      <c r="O105">
        <f t="shared" si="12"/>
        <v>2.3407843899011311</v>
      </c>
      <c r="P105">
        <v>5.75</v>
      </c>
      <c r="Q105">
        <f t="shared" si="13"/>
        <v>2.1049333333333333</v>
      </c>
      <c r="R105">
        <f t="shared" si="14"/>
        <v>2.3407843899011311</v>
      </c>
    </row>
    <row r="106" spans="2:18" x14ac:dyDescent="0.25">
      <c r="B106">
        <v>2.3963999999999999</v>
      </c>
      <c r="C106">
        <v>0.04</v>
      </c>
      <c r="D106">
        <f t="shared" si="17"/>
        <v>2.7040478360276863</v>
      </c>
      <c r="E106">
        <f t="shared" si="18"/>
        <v>4.5135166683820505E-2</v>
      </c>
      <c r="N106">
        <f t="shared" si="16"/>
        <v>1</v>
      </c>
      <c r="O106">
        <f t="shared" si="12"/>
        <v>2.3726239292108064</v>
      </c>
      <c r="P106">
        <v>6</v>
      </c>
      <c r="Q106">
        <f t="shared" si="13"/>
        <v>2.1466000000000003</v>
      </c>
      <c r="R106">
        <f t="shared" si="14"/>
        <v>2.3726239292108064</v>
      </c>
    </row>
    <row r="107" spans="2:18" x14ac:dyDescent="0.25">
      <c r="B107">
        <v>2.3016000000000001</v>
      </c>
      <c r="C107">
        <v>0.05</v>
      </c>
      <c r="D107">
        <f t="shared" si="17"/>
        <v>2.597077490987032</v>
      </c>
      <c r="E107">
        <f t="shared" si="18"/>
        <v>5.6418958354775638E-2</v>
      </c>
      <c r="N107">
        <f t="shared" si="16"/>
        <v>1.0416666666666665</v>
      </c>
      <c r="O107">
        <f t="shared" si="12"/>
        <v>2.4052496387090403</v>
      </c>
      <c r="P107">
        <v>6.25</v>
      </c>
      <c r="Q107">
        <f t="shared" si="13"/>
        <v>2.1882666666666668</v>
      </c>
      <c r="R107">
        <f t="shared" si="14"/>
        <v>2.4052496387090403</v>
      </c>
    </row>
    <row r="108" spans="2:18" x14ac:dyDescent="0.25">
      <c r="B108">
        <v>2.2216999999999998</v>
      </c>
      <c r="C108">
        <v>0.06</v>
      </c>
      <c r="D108">
        <f t="shared" si="17"/>
        <v>2.5069199955361001</v>
      </c>
      <c r="E108">
        <f t="shared" si="18"/>
        <v>6.7702750025730757E-2</v>
      </c>
      <c r="N108">
        <f t="shared" si="16"/>
        <v>1.0833333333333333</v>
      </c>
      <c r="O108">
        <f t="shared" si="12"/>
        <v>2.4385708064510005</v>
      </c>
      <c r="P108">
        <v>6.5</v>
      </c>
      <c r="Q108">
        <f t="shared" si="13"/>
        <v>2.2299333333333333</v>
      </c>
      <c r="R108">
        <f t="shared" si="14"/>
        <v>2.4385708064510005</v>
      </c>
    </row>
    <row r="109" spans="2:18" x14ac:dyDescent="0.25">
      <c r="B109">
        <v>2.1655000000000002</v>
      </c>
      <c r="C109">
        <v>7.0000000000000007E-2</v>
      </c>
      <c r="D109">
        <f t="shared" si="17"/>
        <v>2.4435050863453327</v>
      </c>
      <c r="E109">
        <f t="shared" si="18"/>
        <v>7.8986541696685897E-2</v>
      </c>
      <c r="N109">
        <f t="shared" si="16"/>
        <v>1.125</v>
      </c>
      <c r="O109">
        <f t="shared" si="12"/>
        <v>2.4725101592984946</v>
      </c>
      <c r="P109">
        <v>6.75</v>
      </c>
      <c r="Q109">
        <f t="shared" si="13"/>
        <v>2.2716000000000003</v>
      </c>
      <c r="R109">
        <f t="shared" si="14"/>
        <v>2.4725101592984946</v>
      </c>
    </row>
    <row r="110" spans="2:18" x14ac:dyDescent="0.25">
      <c r="B110">
        <v>2.1139999999999999</v>
      </c>
      <c r="C110">
        <v>0.08</v>
      </c>
      <c r="D110">
        <f t="shared" si="17"/>
        <v>2.3853935592399136</v>
      </c>
      <c r="E110">
        <f t="shared" si="18"/>
        <v>9.0270333367641009E-2</v>
      </c>
      <c r="N110">
        <f t="shared" si="16"/>
        <v>1.1666666666666665</v>
      </c>
      <c r="O110">
        <f t="shared" si="12"/>
        <v>2.5070014631330717</v>
      </c>
      <c r="P110">
        <v>7</v>
      </c>
      <c r="Q110">
        <f t="shared" si="13"/>
        <v>2.3132666666666668</v>
      </c>
      <c r="R110">
        <f t="shared" si="14"/>
        <v>2.5070014631330717</v>
      </c>
    </row>
    <row r="111" spans="2:18" x14ac:dyDescent="0.25">
      <c r="B111">
        <v>2.0697999999999999</v>
      </c>
      <c r="C111">
        <v>0.09</v>
      </c>
      <c r="D111">
        <f t="shared" si="17"/>
        <v>2.3355192000542919</v>
      </c>
      <c r="E111">
        <f t="shared" si="18"/>
        <v>0.10155412503859614</v>
      </c>
      <c r="N111">
        <f t="shared" si="16"/>
        <v>1.2083333333333333</v>
      </c>
      <c r="O111">
        <f t="shared" si="12"/>
        <v>2.541987619576759</v>
      </c>
      <c r="P111">
        <v>7.25</v>
      </c>
      <c r="Q111">
        <f t="shared" si="13"/>
        <v>2.3549333333333333</v>
      </c>
      <c r="R111">
        <f t="shared" si="14"/>
        <v>2.541987619576759</v>
      </c>
    </row>
    <row r="112" spans="2:18" x14ac:dyDescent="0.25">
      <c r="B112">
        <v>2.0314000000000001</v>
      </c>
      <c r="C112">
        <v>0.1</v>
      </c>
      <c r="D112">
        <f t="shared" si="17"/>
        <v>2.2921894400378244</v>
      </c>
      <c r="E112">
        <f t="shared" si="18"/>
        <v>0.11283791670955128</v>
      </c>
      <c r="N112">
        <f t="shared" si="16"/>
        <v>1.25</v>
      </c>
      <c r="O112">
        <f t="shared" si="12"/>
        <v>2.5774191433686453</v>
      </c>
      <c r="P112">
        <v>7.5</v>
      </c>
      <c r="Q112">
        <f t="shared" si="13"/>
        <v>2.3966000000000003</v>
      </c>
      <c r="R112">
        <f t="shared" si="14"/>
        <v>2.5774191433686453</v>
      </c>
    </row>
    <row r="113" spans="2:18" x14ac:dyDescent="0.25">
      <c r="B113">
        <v>1.8079000000000001</v>
      </c>
      <c r="C113">
        <v>0.2</v>
      </c>
      <c r="D113">
        <f t="shared" si="17"/>
        <v>2.0399966961919773</v>
      </c>
      <c r="E113">
        <f t="shared" si="18"/>
        <v>0.22567583341910255</v>
      </c>
      <c r="N113">
        <f t="shared" si="16"/>
        <v>1.2916666666666665</v>
      </c>
      <c r="O113">
        <f t="shared" si="12"/>
        <v>2.6132529344427744</v>
      </c>
      <c r="P113">
        <v>7.75</v>
      </c>
      <c r="Q113">
        <f t="shared" si="13"/>
        <v>2.4382666666666668</v>
      </c>
      <c r="R113">
        <f t="shared" si="14"/>
        <v>2.6132529344427744</v>
      </c>
    </row>
    <row r="114" spans="2:18" x14ac:dyDescent="0.25">
      <c r="B114">
        <v>1.7092000000000001</v>
      </c>
      <c r="C114">
        <v>0.3</v>
      </c>
      <c r="D114">
        <f t="shared" si="17"/>
        <v>1.9286256723996502</v>
      </c>
      <c r="E114">
        <f t="shared" si="18"/>
        <v>0.33851375012865381</v>
      </c>
      <c r="N114">
        <f t="shared" si="16"/>
        <v>1.3333333333333333</v>
      </c>
      <c r="O114">
        <f t="shared" si="12"/>
        <v>2.6494512802414381</v>
      </c>
      <c r="P114">
        <v>8</v>
      </c>
      <c r="Q114">
        <f t="shared" si="13"/>
        <v>2.4799333333333333</v>
      </c>
      <c r="R114">
        <f t="shared" si="14"/>
        <v>2.6494512802414381</v>
      </c>
    </row>
    <row r="115" spans="2:18" x14ac:dyDescent="0.25">
      <c r="B115">
        <v>1.6408</v>
      </c>
      <c r="C115">
        <v>0.4</v>
      </c>
      <c r="D115">
        <f t="shared" si="17"/>
        <v>1.8514445373703172</v>
      </c>
      <c r="E115">
        <f t="shared" si="18"/>
        <v>0.4513516668382051</v>
      </c>
      <c r="N115">
        <f t="shared" si="16"/>
        <v>1.375</v>
      </c>
      <c r="O115">
        <f t="shared" si="12"/>
        <v>2.6859810394260411</v>
      </c>
      <c r="P115">
        <v>8.25</v>
      </c>
      <c r="Q115">
        <f t="shared" si="13"/>
        <v>2.5216000000000003</v>
      </c>
      <c r="R115">
        <f t="shared" si="14"/>
        <v>2.6859810394260411</v>
      </c>
    </row>
    <row r="116" spans="2:18" x14ac:dyDescent="0.25">
      <c r="B116">
        <v>1.6016999999999999</v>
      </c>
      <c r="C116">
        <v>0.5</v>
      </c>
      <c r="D116">
        <f t="shared" si="17"/>
        <v>1.8073249119368826</v>
      </c>
      <c r="E116">
        <f t="shared" si="18"/>
        <v>0.56418958354775628</v>
      </c>
      <c r="N116">
        <f t="shared" si="16"/>
        <v>1.4166666666666665</v>
      </c>
      <c r="O116">
        <f t="shared" si="12"/>
        <v>2.7228129696390004</v>
      </c>
      <c r="P116">
        <v>8.5</v>
      </c>
      <c r="Q116">
        <f t="shared" si="13"/>
        <v>2.5632666666666668</v>
      </c>
      <c r="R116">
        <f t="shared" si="14"/>
        <v>2.7228129696390004</v>
      </c>
    </row>
    <row r="117" spans="2:18" x14ac:dyDescent="0.25">
      <c r="B117">
        <v>1.5761000000000001</v>
      </c>
      <c r="C117">
        <v>0.6</v>
      </c>
      <c r="D117">
        <f t="shared" si="17"/>
        <v>1.7784384052592377</v>
      </c>
      <c r="E117">
        <f t="shared" si="18"/>
        <v>0.67702750025730762</v>
      </c>
      <c r="N117">
        <f t="shared" si="16"/>
        <v>1.4583333333333333</v>
      </c>
      <c r="O117">
        <f t="shared" si="12"/>
        <v>2.7599211705064577</v>
      </c>
      <c r="P117">
        <v>8.75</v>
      </c>
      <c r="Q117">
        <f t="shared" si="13"/>
        <v>2.6049333333333333</v>
      </c>
      <c r="R117">
        <f t="shared" si="14"/>
        <v>2.7599211705064577</v>
      </c>
    </row>
    <row r="118" spans="2:18" x14ac:dyDescent="0.25">
      <c r="B118">
        <v>1.5590999999999999</v>
      </c>
      <c r="C118">
        <v>0.7</v>
      </c>
      <c r="D118">
        <f t="shared" si="17"/>
        <v>1.7592559594186137</v>
      </c>
      <c r="E118">
        <f t="shared" si="18"/>
        <v>0.78986541696685886</v>
      </c>
      <c r="N118">
        <f t="shared" si="16"/>
        <v>1.5</v>
      </c>
      <c r="O118">
        <f t="shared" si="12"/>
        <v>2.7972826194738714</v>
      </c>
      <c r="P118">
        <v>9</v>
      </c>
      <c r="Q118">
        <f t="shared" si="13"/>
        <v>2.6466000000000003</v>
      </c>
      <c r="R118">
        <f t="shared" si="14"/>
        <v>2.7972826194738714</v>
      </c>
    </row>
    <row r="119" spans="2:18" x14ac:dyDescent="0.25">
      <c r="B119">
        <v>1.5482</v>
      </c>
      <c r="C119">
        <v>0.8</v>
      </c>
      <c r="D119">
        <f t="shared" si="17"/>
        <v>1.7469566264972727</v>
      </c>
      <c r="E119">
        <f t="shared" si="18"/>
        <v>0.9027033336764102</v>
      </c>
      <c r="N119">
        <f t="shared" si="16"/>
        <v>1.5416666666666665</v>
      </c>
      <c r="O119">
        <f t="shared" si="12"/>
        <v>2.8348767829115138</v>
      </c>
      <c r="P119">
        <v>9.25</v>
      </c>
      <c r="Q119">
        <f t="shared" si="13"/>
        <v>2.6882666666666668</v>
      </c>
      <c r="R119">
        <f t="shared" si="14"/>
        <v>2.8348767829115138</v>
      </c>
    </row>
    <row r="120" spans="2:18" x14ac:dyDescent="0.25">
      <c r="B120">
        <v>1.5416000000000001</v>
      </c>
      <c r="C120">
        <v>0.9</v>
      </c>
      <c r="D120">
        <f t="shared" si="17"/>
        <v>1.7395093239944424</v>
      </c>
      <c r="E120">
        <f t="shared" si="18"/>
        <v>1.0155412503859613</v>
      </c>
      <c r="N120">
        <f t="shared" si="16"/>
        <v>1.5833333333333333</v>
      </c>
      <c r="O120">
        <f t="shared" si="12"/>
        <v>2.872685288624369</v>
      </c>
      <c r="P120">
        <v>9.5</v>
      </c>
      <c r="Q120">
        <f t="shared" si="13"/>
        <v>2.7299333333333333</v>
      </c>
      <c r="R120">
        <f t="shared" si="14"/>
        <v>2.872685288624369</v>
      </c>
    </row>
    <row r="121" spans="2:18" x14ac:dyDescent="0.25">
      <c r="B121">
        <v>1.5388999999999999</v>
      </c>
      <c r="C121">
        <v>1</v>
      </c>
      <c r="D121">
        <f t="shared" si="17"/>
        <v>1.7364627002432844</v>
      </c>
      <c r="E121">
        <f t="shared" si="18"/>
        <v>1.1283791670955126</v>
      </c>
      <c r="N121">
        <f t="shared" si="16"/>
        <v>1.625</v>
      </c>
      <c r="O121">
        <f t="shared" si="12"/>
        <v>2.9106916487451118</v>
      </c>
      <c r="P121">
        <v>9.75</v>
      </c>
      <c r="Q121">
        <f t="shared" si="13"/>
        <v>2.7716000000000003</v>
      </c>
      <c r="R121">
        <f t="shared" si="14"/>
        <v>2.9106916487451118</v>
      </c>
    </row>
    <row r="122" spans="2:18" x14ac:dyDescent="0.25">
      <c r="B122">
        <v>1.5379</v>
      </c>
      <c r="C122">
        <v>1.1000000000000001</v>
      </c>
      <c r="D122">
        <f t="shared" si="17"/>
        <v>1.7353343210761889</v>
      </c>
      <c r="E122">
        <f t="shared" si="18"/>
        <v>1.241217083805064</v>
      </c>
      <c r="N122">
        <f t="shared" si="16"/>
        <v>1.6666666666666665</v>
      </c>
      <c r="O122">
        <f t="shared" si="12"/>
        <v>2.9488810241931502</v>
      </c>
      <c r="P122">
        <v>10</v>
      </c>
      <c r="Q122">
        <f t="shared" si="13"/>
        <v>2.8132666666666668</v>
      </c>
      <c r="R122">
        <f t="shared" si="14"/>
        <v>2.9488810241931502</v>
      </c>
    </row>
    <row r="123" spans="2:18" x14ac:dyDescent="0.25">
      <c r="B123">
        <v>1.5394000000000001</v>
      </c>
      <c r="C123">
        <v>1.2</v>
      </c>
      <c r="D123">
        <f t="shared" si="17"/>
        <v>1.7370268898268324</v>
      </c>
      <c r="E123">
        <f t="shared" si="18"/>
        <v>1.3540550005146152</v>
      </c>
      <c r="N123">
        <f t="shared" si="16"/>
        <v>1.7083333333333333</v>
      </c>
      <c r="O123">
        <f t="shared" si="12"/>
        <v>2.9872400236030736</v>
      </c>
      <c r="P123">
        <v>10.25</v>
      </c>
      <c r="Q123">
        <f t="shared" si="13"/>
        <v>2.8549333333333333</v>
      </c>
      <c r="R123">
        <f t="shared" si="14"/>
        <v>2.9872400236030736</v>
      </c>
    </row>
    <row r="124" spans="2:18" x14ac:dyDescent="0.25">
      <c r="B124">
        <v>1.5427</v>
      </c>
      <c r="C124">
        <v>1.3</v>
      </c>
      <c r="D124">
        <f t="shared" si="17"/>
        <v>1.7407505410782473</v>
      </c>
      <c r="E124">
        <f t="shared" si="18"/>
        <v>1.4668929172241665</v>
      </c>
      <c r="N124">
        <f t="shared" si="16"/>
        <v>1.75</v>
      </c>
      <c r="O124">
        <f t="shared" si="12"/>
        <v>3.025756530977604</v>
      </c>
      <c r="P124">
        <v>10.5</v>
      </c>
      <c r="Q124">
        <f t="shared" si="13"/>
        <v>2.8966000000000003</v>
      </c>
      <c r="R124">
        <f t="shared" si="14"/>
        <v>3.025756530977604</v>
      </c>
    </row>
    <row r="125" spans="2:18" x14ac:dyDescent="0.25">
      <c r="B125">
        <v>1.5472999999999999</v>
      </c>
      <c r="C125">
        <v>1.4</v>
      </c>
      <c r="D125">
        <f t="shared" si="17"/>
        <v>1.7459410852468866</v>
      </c>
      <c r="E125">
        <f t="shared" si="18"/>
        <v>1.5797308339337177</v>
      </c>
      <c r="N125">
        <f t="shared" si="16"/>
        <v>1.7916666666666665</v>
      </c>
      <c r="O125">
        <f t="shared" si="12"/>
        <v>3.0644195573889768</v>
      </c>
      <c r="P125">
        <v>10.75</v>
      </c>
      <c r="Q125">
        <f t="shared" si="13"/>
        <v>2.9382666666666668</v>
      </c>
      <c r="R125">
        <f t="shared" si="14"/>
        <v>3.0644195573889768</v>
      </c>
    </row>
    <row r="126" spans="2:18" x14ac:dyDescent="0.25">
      <c r="B126">
        <v>1.5529999999999999</v>
      </c>
      <c r="C126">
        <v>1.5</v>
      </c>
      <c r="D126">
        <f t="shared" si="17"/>
        <v>1.7523728464993311</v>
      </c>
      <c r="E126">
        <f t="shared" si="18"/>
        <v>1.6925687506432689</v>
      </c>
      <c r="N126">
        <f t="shared" si="16"/>
        <v>1.8333333333333333</v>
      </c>
      <c r="O126">
        <f t="shared" si="12"/>
        <v>3.1032191129028641</v>
      </c>
      <c r="P126">
        <v>11</v>
      </c>
      <c r="Q126">
        <f t="shared" si="13"/>
        <v>2.9799333333333333</v>
      </c>
      <c r="R126">
        <f t="shared" si="14"/>
        <v>3.1032191129028641</v>
      </c>
    </row>
    <row r="127" spans="2:18" x14ac:dyDescent="0.25">
      <c r="B127">
        <v>1.5598000000000001</v>
      </c>
      <c r="C127">
        <v>1.6</v>
      </c>
      <c r="D127">
        <f t="shared" si="17"/>
        <v>1.7600458248355808</v>
      </c>
      <c r="E127">
        <f t="shared" si="18"/>
        <v>1.8054066673528204</v>
      </c>
      <c r="N127">
        <f t="shared" si="16"/>
        <v>1.875</v>
      </c>
      <c r="O127">
        <f t="shared" si="12"/>
        <v>3.142146095579097</v>
      </c>
      <c r="P127">
        <v>11.25</v>
      </c>
      <c r="Q127">
        <f t="shared" si="13"/>
        <v>3.0216000000000003</v>
      </c>
      <c r="R127">
        <f t="shared" si="14"/>
        <v>3.142146095579097</v>
      </c>
    </row>
    <row r="128" spans="2:18" x14ac:dyDescent="0.25">
      <c r="B128">
        <v>1.5673999999999999</v>
      </c>
      <c r="C128">
        <v>1.7</v>
      </c>
      <c r="D128">
        <f t="shared" si="17"/>
        <v>1.7686215065055064</v>
      </c>
      <c r="E128">
        <f t="shared" si="18"/>
        <v>1.9182445840623714</v>
      </c>
      <c r="N128">
        <f t="shared" si="16"/>
        <v>1.9166666666666665</v>
      </c>
      <c r="O128">
        <f t="shared" si="12"/>
        <v>3.1811921949505653</v>
      </c>
      <c r="P128">
        <v>11.5</v>
      </c>
      <c r="Q128">
        <f t="shared" si="13"/>
        <v>3.0632666666666668</v>
      </c>
      <c r="R128">
        <f t="shared" si="14"/>
        <v>3.1811921949505653</v>
      </c>
    </row>
    <row r="129" spans="2:18" x14ac:dyDescent="0.25">
      <c r="B129">
        <v>1.5757000000000001</v>
      </c>
      <c r="C129">
        <v>1.8</v>
      </c>
      <c r="D129">
        <f t="shared" si="17"/>
        <v>1.7779870535923994</v>
      </c>
      <c r="E129">
        <f t="shared" si="18"/>
        <v>2.0310825007719226</v>
      </c>
      <c r="N129">
        <f t="shared" si="16"/>
        <v>1.9583333333333333</v>
      </c>
      <c r="O129">
        <f t="shared" si="12"/>
        <v>3.2203498078239576</v>
      </c>
      <c r="P129">
        <v>11.75</v>
      </c>
      <c r="Q129">
        <f t="shared" si="13"/>
        <v>3.1049333333333333</v>
      </c>
      <c r="R129">
        <f t="shared" si="14"/>
        <v>3.2203498078239576</v>
      </c>
    </row>
    <row r="130" spans="2:18" x14ac:dyDescent="0.25">
      <c r="B130">
        <v>1.5847</v>
      </c>
      <c r="C130">
        <v>1.9</v>
      </c>
      <c r="D130">
        <f t="shared" si="17"/>
        <v>1.7881424660962588</v>
      </c>
      <c r="E130">
        <f t="shared" si="18"/>
        <v>2.1439204174814739</v>
      </c>
      <c r="N130">
        <f t="shared" si="16"/>
        <v>2</v>
      </c>
      <c r="O130">
        <f t="shared" si="12"/>
        <v>3.2596119646054036</v>
      </c>
      <c r="P130">
        <v>12</v>
      </c>
      <c r="Q130">
        <f t="shared" si="13"/>
        <v>3.1466000000000003</v>
      </c>
      <c r="R130">
        <f t="shared" si="14"/>
        <v>3.2596119646054036</v>
      </c>
    </row>
    <row r="131" spans="2:18" x14ac:dyDescent="0.25">
      <c r="B131">
        <v>1.5942000000000001</v>
      </c>
      <c r="C131">
        <v>2</v>
      </c>
      <c r="D131">
        <f t="shared" si="17"/>
        <v>1.7988620681836665</v>
      </c>
      <c r="E131">
        <f t="shared" si="18"/>
        <v>2.2567583341910251</v>
      </c>
      <c r="N131">
        <f t="shared" si="16"/>
        <v>2.0416666666666665</v>
      </c>
      <c r="O131">
        <f t="shared" si="12"/>
        <v>3.2989722646474693</v>
      </c>
      <c r="P131">
        <v>12.25</v>
      </c>
      <c r="Q131">
        <f t="shared" si="13"/>
        <v>3.1882666666666664</v>
      </c>
      <c r="R131">
        <f t="shared" si="14"/>
        <v>3.2989722646474693</v>
      </c>
    </row>
    <row r="132" spans="2:18" x14ac:dyDescent="0.25">
      <c r="B132">
        <v>1.6479999999999999</v>
      </c>
      <c r="C132">
        <v>2.5</v>
      </c>
      <c r="D132">
        <f t="shared" si="17"/>
        <v>1.8595688673734048</v>
      </c>
      <c r="E132">
        <f t="shared" si="18"/>
        <v>2.8209479177387817</v>
      </c>
      <c r="N132">
        <f t="shared" si="16"/>
        <v>2.083333333333333</v>
      </c>
      <c r="O132">
        <f t="shared" si="12"/>
        <v>3.3384248193545205</v>
      </c>
      <c r="P132">
        <v>12.5</v>
      </c>
      <c r="Q132">
        <f t="shared" si="13"/>
        <v>3.2299333333333333</v>
      </c>
      <c r="R132">
        <f t="shared" si="14"/>
        <v>3.3384248193545205</v>
      </c>
    </row>
    <row r="133" spans="2:18" x14ac:dyDescent="0.25">
      <c r="B133">
        <v>1.7092000000000001</v>
      </c>
      <c r="C133">
        <v>3</v>
      </c>
      <c r="D133">
        <f t="shared" si="17"/>
        <v>1.9286256723996502</v>
      </c>
      <c r="E133">
        <f t="shared" si="18"/>
        <v>3.3851375012865379</v>
      </c>
      <c r="N133">
        <f t="shared" si="16"/>
        <v>2.125</v>
      </c>
      <c r="O133">
        <f t="shared" si="12"/>
        <v>3.3779642019815563</v>
      </c>
      <c r="P133">
        <v>12.75</v>
      </c>
      <c r="Q133">
        <f t="shared" si="13"/>
        <v>3.2716000000000003</v>
      </c>
      <c r="R133">
        <f t="shared" si="14"/>
        <v>3.3779642019815563</v>
      </c>
    </row>
    <row r="134" spans="2:18" x14ac:dyDescent="0.25">
      <c r="B134">
        <v>1.7750999999999999</v>
      </c>
      <c r="C134">
        <v>3.5</v>
      </c>
      <c r="D134">
        <f t="shared" si="17"/>
        <v>2.0029858595112446</v>
      </c>
      <c r="E134">
        <f t="shared" si="18"/>
        <v>3.9493270848342945</v>
      </c>
      <c r="N134">
        <f t="shared" si="16"/>
        <v>2.1666666666666665</v>
      </c>
      <c r="O134">
        <f t="shared" ref="O134:O142" si="19">1/6*P134+$E$7+$F$8/P134</f>
        <v>3.4175854032255</v>
      </c>
      <c r="P134">
        <v>13</v>
      </c>
      <c r="Q134">
        <f t="shared" ref="Q134:Q142" si="20">P134/6+$E$7</f>
        <v>3.3132666666666664</v>
      </c>
      <c r="R134">
        <f t="shared" ref="R134:R142" si="21">1/6*P134+$E$7+$F$8/P134</f>
        <v>3.4175854032255</v>
      </c>
    </row>
    <row r="135" spans="2:18" x14ac:dyDescent="0.25">
      <c r="B135">
        <v>1.8440000000000001</v>
      </c>
      <c r="C135">
        <v>4</v>
      </c>
      <c r="D135">
        <f t="shared" si="17"/>
        <v>2.0807311841241254</v>
      </c>
      <c r="E135">
        <f t="shared" si="18"/>
        <v>4.5135166683820502</v>
      </c>
      <c r="N135">
        <f t="shared" si="16"/>
        <v>2.208333333333333</v>
      </c>
      <c r="O135">
        <f t="shared" si="19"/>
        <v>3.4572837918438872</v>
      </c>
      <c r="P135">
        <v>13.25</v>
      </c>
      <c r="Q135">
        <f t="shared" si="20"/>
        <v>3.3549333333333333</v>
      </c>
      <c r="R135">
        <f t="shared" si="21"/>
        <v>3.4572837918438872</v>
      </c>
    </row>
    <row r="136" spans="2:18" x14ac:dyDescent="0.25">
      <c r="B136">
        <v>1.9153</v>
      </c>
      <c r="C136">
        <v>4.5</v>
      </c>
      <c r="D136">
        <f t="shared" si="17"/>
        <v>2.1611846187380355</v>
      </c>
      <c r="E136">
        <f t="shared" si="18"/>
        <v>5.0777062519298068</v>
      </c>
      <c r="N136">
        <f t="shared" si="16"/>
        <v>2.25</v>
      </c>
      <c r="O136">
        <f t="shared" si="19"/>
        <v>3.4970550796492477</v>
      </c>
      <c r="P136">
        <v>13.5</v>
      </c>
      <c r="Q136">
        <f t="shared" si="20"/>
        <v>3.3966000000000003</v>
      </c>
      <c r="R136">
        <f t="shared" si="21"/>
        <v>3.4970550796492477</v>
      </c>
    </row>
    <row r="137" spans="2:18" x14ac:dyDescent="0.25">
      <c r="B137">
        <v>1.9883</v>
      </c>
      <c r="C137">
        <v>5</v>
      </c>
      <c r="D137">
        <f t="shared" si="17"/>
        <v>2.2435562979360077</v>
      </c>
      <c r="E137">
        <f t="shared" si="18"/>
        <v>5.6418958354775635</v>
      </c>
      <c r="N137">
        <f t="shared" si="16"/>
        <v>2.2916666666666665</v>
      </c>
      <c r="O137">
        <f t="shared" si="19"/>
        <v>3.536895290322291</v>
      </c>
      <c r="P137">
        <v>13.75</v>
      </c>
      <c r="Q137">
        <f t="shared" si="20"/>
        <v>3.4382666666666664</v>
      </c>
      <c r="R137">
        <f t="shared" si="21"/>
        <v>3.536895290322291</v>
      </c>
    </row>
    <row r="138" spans="2:18" x14ac:dyDescent="0.25">
      <c r="B138">
        <v>2.0627</v>
      </c>
      <c r="C138">
        <v>5.5</v>
      </c>
      <c r="D138">
        <f t="shared" si="17"/>
        <v>2.3275077079679138</v>
      </c>
      <c r="E138">
        <f t="shared" si="18"/>
        <v>6.2060854190253201</v>
      </c>
      <c r="N138">
        <f t="shared" si="16"/>
        <v>2.333333333333333</v>
      </c>
      <c r="O138">
        <f t="shared" si="19"/>
        <v>3.5768007315665362</v>
      </c>
      <c r="P138">
        <v>14</v>
      </c>
      <c r="Q138">
        <f t="shared" si="20"/>
        <v>3.4799333333333333</v>
      </c>
      <c r="R138">
        <f t="shared" si="21"/>
        <v>3.5768007315665362</v>
      </c>
    </row>
    <row r="139" spans="2:18" x14ac:dyDescent="0.25">
      <c r="B139">
        <v>2.1381000000000001</v>
      </c>
      <c r="C139">
        <v>6</v>
      </c>
      <c r="D139">
        <f t="shared" si="17"/>
        <v>2.4125874971669159</v>
      </c>
      <c r="E139">
        <f t="shared" si="18"/>
        <v>6.7702750025730758</v>
      </c>
      <c r="N139">
        <f t="shared" si="16"/>
        <v>2.375</v>
      </c>
      <c r="O139">
        <f t="shared" si="19"/>
        <v>3.6167679701940241</v>
      </c>
      <c r="P139">
        <v>14.25</v>
      </c>
      <c r="Q139">
        <f t="shared" si="20"/>
        <v>3.5216000000000003</v>
      </c>
      <c r="R139">
        <f t="shared" si="21"/>
        <v>3.6167679701940241</v>
      </c>
    </row>
    <row r="140" spans="2:18" x14ac:dyDescent="0.25">
      <c r="B140">
        <v>2.2143999999999999</v>
      </c>
      <c r="C140">
        <v>6.5</v>
      </c>
      <c r="D140">
        <f t="shared" si="17"/>
        <v>2.4986828276163031</v>
      </c>
      <c r="E140">
        <f t="shared" si="18"/>
        <v>7.3344645861208324</v>
      </c>
      <c r="N140">
        <f t="shared" si="16"/>
        <v>2.4166666666666665</v>
      </c>
      <c r="O140">
        <f t="shared" si="19"/>
        <v>3.6567938097883794</v>
      </c>
      <c r="P140">
        <v>14.5</v>
      </c>
      <c r="Q140">
        <f t="shared" si="20"/>
        <v>3.5632666666666664</v>
      </c>
      <c r="R140">
        <f t="shared" si="21"/>
        <v>3.6567938097883794</v>
      </c>
    </row>
    <row r="141" spans="2:18" x14ac:dyDescent="0.25">
      <c r="B141">
        <v>2.2913999999999999</v>
      </c>
      <c r="C141">
        <v>7</v>
      </c>
      <c r="D141">
        <f t="shared" si="17"/>
        <v>2.5855680234826575</v>
      </c>
      <c r="E141">
        <f t="shared" si="18"/>
        <v>7.898654169668589</v>
      </c>
      <c r="N141">
        <f t="shared" si="16"/>
        <v>2.458333333333333</v>
      </c>
      <c r="O141">
        <f t="shared" si="19"/>
        <v>3.6968752706394241</v>
      </c>
      <c r="P141">
        <v>14.75</v>
      </c>
      <c r="Q141">
        <f t="shared" si="20"/>
        <v>3.6049333333333333</v>
      </c>
      <c r="R141">
        <f t="shared" si="21"/>
        <v>3.6968752706394241</v>
      </c>
    </row>
    <row r="142" spans="2:18" x14ac:dyDescent="0.25">
      <c r="B142">
        <v>2.3690000000000002</v>
      </c>
      <c r="C142">
        <v>7.5</v>
      </c>
      <c r="D142">
        <f t="shared" si="17"/>
        <v>2.6731302468492699</v>
      </c>
      <c r="E142">
        <f t="shared" si="18"/>
        <v>8.4628437532163456</v>
      </c>
      <c r="N142">
        <f t="shared" si="16"/>
        <v>2.5</v>
      </c>
      <c r="O142">
        <f t="shared" si="19"/>
        <v>3.7370095716843226</v>
      </c>
      <c r="P142">
        <v>15</v>
      </c>
      <c r="Q142">
        <f t="shared" si="20"/>
        <v>3.6466000000000003</v>
      </c>
      <c r="R142">
        <f t="shared" si="21"/>
        <v>3.7370095716843226</v>
      </c>
    </row>
    <row r="143" spans="2:18" x14ac:dyDescent="0.25">
      <c r="B143">
        <v>2.4472</v>
      </c>
      <c r="C143">
        <v>8</v>
      </c>
      <c r="D143">
        <f t="shared" si="17"/>
        <v>2.7613694977161387</v>
      </c>
      <c r="E143">
        <f t="shared" si="18"/>
        <v>9.0270333367641005</v>
      </c>
      <c r="N143">
        <f t="shared" si="16"/>
        <v>3.333333333333333</v>
      </c>
      <c r="P143">
        <v>20</v>
      </c>
    </row>
    <row r="144" spans="2:18" x14ac:dyDescent="0.25">
      <c r="B144">
        <v>2.5257999999999998</v>
      </c>
      <c r="C144">
        <v>8.5</v>
      </c>
      <c r="D144">
        <f t="shared" si="17"/>
        <v>2.8500601002498458</v>
      </c>
      <c r="E144">
        <f t="shared" si="18"/>
        <v>9.5912229203118571</v>
      </c>
      <c r="N144">
        <f t="shared" si="16"/>
        <v>5</v>
      </c>
      <c r="P144">
        <v>30</v>
      </c>
    </row>
    <row r="145" spans="2:17" x14ac:dyDescent="0.25">
      <c r="B145">
        <v>2.6048</v>
      </c>
      <c r="C145">
        <v>9</v>
      </c>
      <c r="D145">
        <f t="shared" si="17"/>
        <v>2.9392020544503912</v>
      </c>
      <c r="E145">
        <f t="shared" si="18"/>
        <v>10.155412503859614</v>
      </c>
      <c r="N145">
        <f t="shared" si="16"/>
        <v>6.6666666666666661</v>
      </c>
      <c r="P145">
        <v>40</v>
      </c>
    </row>
    <row r="146" spans="2:17" x14ac:dyDescent="0.25">
      <c r="B146">
        <v>2.6040999999999999</v>
      </c>
      <c r="C146">
        <v>9.5</v>
      </c>
      <c r="D146">
        <f t="shared" si="17"/>
        <v>2.9384121890334245</v>
      </c>
      <c r="E146">
        <f t="shared" si="18"/>
        <v>10.71960208740737</v>
      </c>
      <c r="N146">
        <f t="shared" si="16"/>
        <v>8.3333333333333321</v>
      </c>
      <c r="P146">
        <v>50</v>
      </c>
    </row>
    <row r="147" spans="2:17" x14ac:dyDescent="0.25">
      <c r="B147">
        <v>2.7637999999999998</v>
      </c>
      <c r="C147">
        <v>10</v>
      </c>
      <c r="D147">
        <f t="shared" si="17"/>
        <v>3.1186143420185779</v>
      </c>
      <c r="E147">
        <f t="shared" si="18"/>
        <v>11.283791670955127</v>
      </c>
    </row>
    <row r="148" spans="2:17" x14ac:dyDescent="0.25">
      <c r="B148">
        <v>2.8437999999999999</v>
      </c>
      <c r="C148">
        <v>10.5</v>
      </c>
      <c r="D148">
        <f t="shared" si="17"/>
        <v>3.2088846753862188</v>
      </c>
      <c r="E148">
        <f t="shared" si="18"/>
        <v>11.847981254502884</v>
      </c>
    </row>
    <row r="149" spans="2:17" x14ac:dyDescent="0.25">
      <c r="G149" t="s">
        <v>88</v>
      </c>
    </row>
    <row r="150" spans="2:17" x14ac:dyDescent="0.25">
      <c r="C150" s="1" t="s">
        <v>86</v>
      </c>
      <c r="E150" t="s">
        <v>89</v>
      </c>
      <c r="G150">
        <f>0.002/50000*10^15</f>
        <v>40000000</v>
      </c>
      <c r="H150" t="s">
        <v>45</v>
      </c>
      <c r="K150" t="s">
        <v>93</v>
      </c>
    </row>
    <row r="151" spans="2:17" x14ac:dyDescent="0.25">
      <c r="C151" s="12" t="s">
        <v>72</v>
      </c>
      <c r="K151" s="101" t="s">
        <v>92</v>
      </c>
      <c r="L151" s="101"/>
      <c r="M151" s="101"/>
      <c r="N151" t="s">
        <v>94</v>
      </c>
      <c r="P151" s="102" t="s">
        <v>97</v>
      </c>
      <c r="Q151" s="102"/>
    </row>
    <row r="152" spans="2:17" x14ac:dyDescent="0.25">
      <c r="C152" t="s">
        <v>71</v>
      </c>
      <c r="D152" s="13" t="s">
        <v>11</v>
      </c>
      <c r="E152" s="1" t="s">
        <v>67</v>
      </c>
      <c r="F152" s="13" t="s">
        <v>73</v>
      </c>
      <c r="G152" s="1" t="s">
        <v>87</v>
      </c>
      <c r="H152" t="s">
        <v>34</v>
      </c>
      <c r="I152" t="s">
        <v>90</v>
      </c>
      <c r="J152" t="s">
        <v>91</v>
      </c>
      <c r="K152" s="1" t="s">
        <v>11</v>
      </c>
      <c r="L152" t="s">
        <v>73</v>
      </c>
      <c r="M152" t="s">
        <v>67</v>
      </c>
      <c r="N152" t="s">
        <v>95</v>
      </c>
      <c r="O152" t="s">
        <v>96</v>
      </c>
      <c r="P152" s="16" t="s">
        <v>73</v>
      </c>
      <c r="Q152" t="s">
        <v>87</v>
      </c>
    </row>
    <row r="153" spans="2:17" ht="14.4" x14ac:dyDescent="0.3">
      <c r="C153">
        <v>0</v>
      </c>
      <c r="D153" s="1">
        <v>118.43</v>
      </c>
      <c r="E153" s="1">
        <f t="shared" ref="E153:E161" si="22">1/D153</f>
        <v>8.4438064679557539E-3</v>
      </c>
      <c r="F153" s="1">
        <v>2.3004852380852459</v>
      </c>
      <c r="G153" s="1">
        <v>3.7349717701760208E-6</v>
      </c>
      <c r="H153" s="1">
        <v>3.5971312070878017E-2</v>
      </c>
      <c r="I153" s="1">
        <v>0.04</v>
      </c>
      <c r="J153">
        <f>G153/9.02696148174307E-08/1000*2/I153</f>
        <v>2.068786810340312</v>
      </c>
      <c r="K153">
        <v>116.85757493280553</v>
      </c>
      <c r="L153" s="15">
        <v>2.4012566783979992</v>
      </c>
      <c r="M153">
        <f>1/K153</f>
        <v>8.5574255718981994E-3</v>
      </c>
      <c r="N153">
        <v>4.0000000000000001E-3</v>
      </c>
      <c r="O153">
        <v>2E-3</v>
      </c>
      <c r="P153" s="16">
        <v>2.2772306545803289</v>
      </c>
      <c r="Q153">
        <v>3.7162404516771842E-6</v>
      </c>
    </row>
    <row r="154" spans="2:17" x14ac:dyDescent="0.25">
      <c r="C154">
        <v>1</v>
      </c>
      <c r="D154" s="1">
        <v>87.868596453164628</v>
      </c>
      <c r="E154" s="1">
        <f t="shared" si="22"/>
        <v>1.1380630172384922E-2</v>
      </c>
      <c r="F154" s="1">
        <v>2.4424582007497539</v>
      </c>
      <c r="G154" s="1">
        <v>3.8997010959814016E-6</v>
      </c>
      <c r="H154" s="1">
        <v>3.5374685444889267E-2</v>
      </c>
      <c r="I154" s="1">
        <v>0.04</v>
      </c>
      <c r="J154">
        <f t="shared" ref="J154:J161" si="23">G154/9.02696148174307E-08/1000*2/I154</f>
        <v>2.1600297640953183</v>
      </c>
      <c r="K154">
        <v>87.920452108879118</v>
      </c>
      <c r="L154">
        <v>2.1696781983474067</v>
      </c>
      <c r="M154">
        <f t="shared" ref="M154:M162" si="24">1/K154</f>
        <v>1.1373917854307868E-2</v>
      </c>
      <c r="N154">
        <v>5.0000000000000001E-3</v>
      </c>
      <c r="O154">
        <v>3.0000000000000001E-3</v>
      </c>
      <c r="P154" s="16">
        <v>2.3396376074792946</v>
      </c>
      <c r="Q154">
        <v>3.7751710395217532E-6</v>
      </c>
    </row>
    <row r="155" spans="2:17" x14ac:dyDescent="0.25">
      <c r="C155">
        <v>2</v>
      </c>
      <c r="D155" s="1">
        <v>70.395936775181312</v>
      </c>
      <c r="E155" s="1">
        <f t="shared" si="22"/>
        <v>1.4205365335127673E-2</v>
      </c>
      <c r="F155" s="1">
        <v>2.1577688329349574</v>
      </c>
      <c r="G155" s="1">
        <v>3.6213882431086019E-6</v>
      </c>
      <c r="H155" s="1">
        <v>3.7184211606900261E-2</v>
      </c>
      <c r="I155" s="1">
        <v>0.04</v>
      </c>
      <c r="J155">
        <f t="shared" si="23"/>
        <v>2.0058733220656912</v>
      </c>
      <c r="K155">
        <v>70.092301371640787</v>
      </c>
      <c r="L155">
        <v>2.1010265571333107</v>
      </c>
      <c r="M155">
        <f t="shared" si="24"/>
        <v>1.426690207670365E-2</v>
      </c>
      <c r="N155">
        <v>6.0000000000000001E-3</v>
      </c>
      <c r="O155">
        <v>4.0000000000000001E-3</v>
      </c>
      <c r="P155" s="16">
        <v>2.4104717748724651</v>
      </c>
      <c r="Q155">
        <v>3.8386183992029223E-6</v>
      </c>
    </row>
    <row r="156" spans="2:17" x14ac:dyDescent="0.25">
      <c r="C156">
        <v>3</v>
      </c>
      <c r="D156" s="1">
        <v>59.021421712603129</v>
      </c>
      <c r="E156" s="1">
        <f t="shared" si="22"/>
        <v>1.6943000879737623E-2</v>
      </c>
      <c r="F156" s="1">
        <v>2.1944562976482374</v>
      </c>
      <c r="G156" s="14">
        <v>3.565592826303554E-6</v>
      </c>
      <c r="H156" s="1">
        <v>3.5999230474520479E-2</v>
      </c>
      <c r="I156" s="1">
        <v>0.04</v>
      </c>
      <c r="J156">
        <f t="shared" si="23"/>
        <v>1.9749684506325447</v>
      </c>
      <c r="K156">
        <v>58.406968545117984</v>
      </c>
      <c r="L156">
        <v>2.1056175417596679</v>
      </c>
      <c r="M156">
        <f t="shared" si="24"/>
        <v>1.7121244688936801E-2</v>
      </c>
      <c r="N156">
        <v>7.0000000000000001E-3</v>
      </c>
      <c r="O156">
        <v>5.0000000000000001E-3</v>
      </c>
      <c r="P156" s="16"/>
    </row>
    <row r="157" spans="2:17" x14ac:dyDescent="0.25">
      <c r="C157">
        <v>4</v>
      </c>
      <c r="D157" s="1">
        <v>50.650287804880328</v>
      </c>
      <c r="E157" s="1">
        <f t="shared" si="22"/>
        <v>1.9743224438374198E-2</v>
      </c>
      <c r="F157" s="1">
        <v>2.4390276393043377</v>
      </c>
      <c r="G157" s="1">
        <v>3.8598472268349389E-6</v>
      </c>
      <c r="H157" s="1">
        <v>3.5062412930073644E-2</v>
      </c>
      <c r="I157" s="1">
        <v>0.04</v>
      </c>
      <c r="J157">
        <f t="shared" si="23"/>
        <v>2.1379548559287844</v>
      </c>
      <c r="K157">
        <v>50.220196775366652</v>
      </c>
      <c r="L157">
        <v>2.1222063547978571</v>
      </c>
      <c r="M157">
        <f t="shared" si="24"/>
        <v>1.9912307482046879E-2</v>
      </c>
      <c r="N157">
        <v>8.0000000000000002E-3</v>
      </c>
      <c r="O157">
        <v>6.0000000000000001E-3</v>
      </c>
      <c r="P157" s="16"/>
    </row>
    <row r="158" spans="2:17" x14ac:dyDescent="0.25">
      <c r="C158">
        <v>5</v>
      </c>
      <c r="D158" s="1">
        <v>43.735494718017854</v>
      </c>
      <c r="E158" s="1">
        <f t="shared" si="22"/>
        <v>2.2864723640316494E-2</v>
      </c>
      <c r="F158" s="1">
        <v>2.2381884868793902</v>
      </c>
      <c r="G158" s="1">
        <v>3.606775157754899E-6</v>
      </c>
      <c r="H158" s="1">
        <v>3.5703502198900394E-2</v>
      </c>
      <c r="I158" s="1">
        <v>0.04</v>
      </c>
      <c r="J158">
        <f t="shared" si="23"/>
        <v>1.9977791890712959</v>
      </c>
      <c r="K158">
        <v>43.872862711513982</v>
      </c>
      <c r="L158">
        <v>2.3049203870171109</v>
      </c>
      <c r="M158">
        <f t="shared" si="24"/>
        <v>2.2793133116831246E-2</v>
      </c>
      <c r="N158">
        <v>8.9999999999999993E-3</v>
      </c>
      <c r="O158">
        <v>7.0000000000000001E-3</v>
      </c>
      <c r="P158" s="16"/>
    </row>
    <row r="159" spans="2:17" x14ac:dyDescent="0.25">
      <c r="C159">
        <v>6</v>
      </c>
      <c r="D159">
        <v>39.249974608564749</v>
      </c>
      <c r="E159" s="1">
        <f t="shared" si="22"/>
        <v>2.5477723488304873E-2</v>
      </c>
      <c r="F159">
        <v>2.2267692126281711</v>
      </c>
      <c r="G159">
        <v>3.4081700431750251E-6</v>
      </c>
      <c r="H159">
        <v>3.3910520276085022E-2</v>
      </c>
      <c r="I159" s="1">
        <v>0.04</v>
      </c>
      <c r="J159">
        <f t="shared" si="23"/>
        <v>1.8877725633747369</v>
      </c>
      <c r="K159">
        <v>39.061960068396253</v>
      </c>
      <c r="L159">
        <v>2.3104934123941936</v>
      </c>
      <c r="M159">
        <f t="shared" si="24"/>
        <v>2.5600353854466896E-2</v>
      </c>
      <c r="N159">
        <v>0.01</v>
      </c>
      <c r="O159">
        <v>8.0000000000000002E-3</v>
      </c>
      <c r="P159" s="16"/>
    </row>
    <row r="160" spans="2:17" x14ac:dyDescent="0.25">
      <c r="C160">
        <v>7</v>
      </c>
      <c r="D160">
        <v>18.456896528783993</v>
      </c>
      <c r="E160" s="1">
        <f t="shared" si="22"/>
        <v>5.4180289651647284E-2</v>
      </c>
      <c r="F160">
        <v>1.6331153964262628</v>
      </c>
      <c r="G160">
        <v>2.7937562271670539E-6</v>
      </c>
      <c r="H160">
        <v>3.7901817982006369E-2</v>
      </c>
      <c r="I160" s="1">
        <v>0.04</v>
      </c>
      <c r="J160">
        <f t="shared" si="23"/>
        <v>1.5474510624740092</v>
      </c>
      <c r="K160">
        <v>18.502882183319986</v>
      </c>
      <c r="L160">
        <v>2.1134420837773531</v>
      </c>
      <c r="M160">
        <f t="shared" si="24"/>
        <v>5.4045634085130904E-2</v>
      </c>
      <c r="N160">
        <v>0.02</v>
      </c>
      <c r="O160">
        <v>1.7999999999999999E-2</v>
      </c>
      <c r="P160" s="16"/>
    </row>
    <row r="161" spans="3:16" x14ac:dyDescent="0.25">
      <c r="C161">
        <v>8</v>
      </c>
      <c r="D161">
        <v>12.117442150205292</v>
      </c>
      <c r="E161" s="1">
        <f t="shared" si="22"/>
        <v>8.2525667348290838E-2</v>
      </c>
      <c r="F161">
        <v>1.6069163428578761</v>
      </c>
      <c r="G161">
        <v>3.0567917635337099E-6</v>
      </c>
      <c r="H161">
        <v>4.2146449350608968E-2</v>
      </c>
      <c r="I161" s="1">
        <v>0.04</v>
      </c>
      <c r="J161">
        <f t="shared" si="23"/>
        <v>1.6931454563731314</v>
      </c>
      <c r="K161">
        <v>12.129729771827726</v>
      </c>
      <c r="L161">
        <v>2.6403005777356725</v>
      </c>
      <c r="M161">
        <f t="shared" si="24"/>
        <v>8.2442067450058165E-2</v>
      </c>
      <c r="N161">
        <v>0.03</v>
      </c>
      <c r="O161">
        <v>2.8000000000000001E-2</v>
      </c>
      <c r="P161" s="16"/>
    </row>
    <row r="162" spans="3:16" x14ac:dyDescent="0.25">
      <c r="K162">
        <v>9.0490918669427138</v>
      </c>
      <c r="L162">
        <v>2.1789709901654803</v>
      </c>
      <c r="M162">
        <f t="shared" si="24"/>
        <v>0.11050832665906568</v>
      </c>
      <c r="N162">
        <v>0.04</v>
      </c>
      <c r="O162">
        <v>3.7999999999999999E-2</v>
      </c>
      <c r="P162" s="16"/>
    </row>
    <row r="167" spans="3:16" x14ac:dyDescent="0.25">
      <c r="C167" s="12" t="s">
        <v>82</v>
      </c>
    </row>
    <row r="168" spans="3:16" x14ac:dyDescent="0.25">
      <c r="C168" t="s">
        <v>69</v>
      </c>
      <c r="D168" t="s">
        <v>74</v>
      </c>
      <c r="E168" t="s">
        <v>75</v>
      </c>
      <c r="F168" t="s">
        <v>76</v>
      </c>
      <c r="G168" t="s">
        <v>67</v>
      </c>
    </row>
    <row r="169" spans="3:16" x14ac:dyDescent="0.25">
      <c r="C169">
        <v>0</v>
      </c>
      <c r="D169">
        <v>1.2010000000000001</v>
      </c>
      <c r="E169">
        <v>2.2010000000000001</v>
      </c>
      <c r="F169">
        <v>2.4889999999999999</v>
      </c>
      <c r="G169">
        <f t="shared" ref="G169:G174" si="25">C169*2/SQRT(PI())</f>
        <v>0</v>
      </c>
    </row>
    <row r="170" spans="3:16" x14ac:dyDescent="0.25">
      <c r="C170">
        <v>5.0000000000000001E-4</v>
      </c>
      <c r="D170">
        <v>1.2010000000000001</v>
      </c>
      <c r="E170">
        <v>2.1960000000000002</v>
      </c>
      <c r="F170">
        <v>2.4790000000000001</v>
      </c>
      <c r="G170">
        <f t="shared" si="25"/>
        <v>5.6418958354775633E-4</v>
      </c>
    </row>
    <row r="171" spans="3:16" x14ac:dyDescent="0.25">
      <c r="C171">
        <v>5.0000000000000001E-3</v>
      </c>
      <c r="D171">
        <v>1.1970000000000001</v>
      </c>
      <c r="E171">
        <v>2.1549999999999998</v>
      </c>
      <c r="F171">
        <v>2.4049999999999998</v>
      </c>
      <c r="G171">
        <f t="shared" si="25"/>
        <v>5.6418958354775631E-3</v>
      </c>
    </row>
    <row r="172" spans="3:16" x14ac:dyDescent="0.25">
      <c r="C172">
        <v>0.05</v>
      </c>
      <c r="D172">
        <v>1.2190000000000001</v>
      </c>
      <c r="E172">
        <v>1.923</v>
      </c>
      <c r="F172">
        <v>1.996</v>
      </c>
      <c r="G172">
        <f t="shared" si="25"/>
        <v>5.6418958354775638E-2</v>
      </c>
    </row>
    <row r="173" spans="3:16" x14ac:dyDescent="0.25">
      <c r="C173">
        <v>0.5</v>
      </c>
      <c r="D173">
        <v>1.3879999999999999</v>
      </c>
      <c r="E173">
        <v>1.538</v>
      </c>
      <c r="F173">
        <v>1.5389999999999999</v>
      </c>
      <c r="G173">
        <f t="shared" si="25"/>
        <v>0.56418958354775628</v>
      </c>
    </row>
    <row r="174" spans="3:16" x14ac:dyDescent="0.25">
      <c r="C174">
        <v>5</v>
      </c>
      <c r="D174">
        <v>2.7639999999999998</v>
      </c>
      <c r="E174">
        <v>2.7639999999999998</v>
      </c>
      <c r="F174">
        <v>2.7639999999999998</v>
      </c>
      <c r="G174">
        <f t="shared" si="25"/>
        <v>5.6418958354775635</v>
      </c>
    </row>
    <row r="177" spans="3:56" x14ac:dyDescent="0.25">
      <c r="C177" s="12" t="s">
        <v>155</v>
      </c>
      <c r="L177" t="s">
        <v>228</v>
      </c>
      <c r="BA177">
        <f>1.35/AZ180</f>
        <v>0.9904622157006604</v>
      </c>
      <c r="BB177">
        <v>1988</v>
      </c>
    </row>
    <row r="178" spans="3:56" x14ac:dyDescent="0.25">
      <c r="C178" t="s">
        <v>78</v>
      </c>
      <c r="F178" t="s">
        <v>227</v>
      </c>
      <c r="I178" t="s">
        <v>84</v>
      </c>
      <c r="L178" t="s">
        <v>207</v>
      </c>
      <c r="AI178" t="s">
        <v>81</v>
      </c>
      <c r="AK178" t="s">
        <v>207</v>
      </c>
      <c r="AW178" t="s">
        <v>81</v>
      </c>
      <c r="AY178" t="s">
        <v>207</v>
      </c>
      <c r="BB178" t="s">
        <v>207</v>
      </c>
    </row>
    <row r="179" spans="3:56" x14ac:dyDescent="0.25">
      <c r="C179" t="s">
        <v>19</v>
      </c>
      <c r="D179" t="s">
        <v>73</v>
      </c>
      <c r="E179" t="s">
        <v>67</v>
      </c>
      <c r="F179" t="s">
        <v>19</v>
      </c>
      <c r="G179" t="s">
        <v>73</v>
      </c>
      <c r="H179" t="s">
        <v>67</v>
      </c>
      <c r="I179" t="s">
        <v>19</v>
      </c>
      <c r="J179" t="s">
        <v>73</v>
      </c>
      <c r="K179" t="s">
        <v>67</v>
      </c>
      <c r="L179" t="s">
        <v>19</v>
      </c>
      <c r="M179" t="s">
        <v>73</v>
      </c>
      <c r="N179" t="s">
        <v>67</v>
      </c>
      <c r="AI179">
        <v>1E-3</v>
      </c>
      <c r="AJ179">
        <v>1.95</v>
      </c>
      <c r="AK179">
        <v>1E-3</v>
      </c>
      <c r="AL179">
        <v>1.31</v>
      </c>
      <c r="AW179">
        <v>5.0000000000000001E-3</v>
      </c>
      <c r="AX179">
        <v>1.97</v>
      </c>
      <c r="AY179">
        <v>5.0000000000000001E-3</v>
      </c>
      <c r="AZ179">
        <v>1.363</v>
      </c>
      <c r="BA179">
        <f>AZ179*$BA$177</f>
        <v>1.35</v>
      </c>
      <c r="BB179">
        <v>5.0000000000000001E-3</v>
      </c>
      <c r="BC179">
        <v>1.363</v>
      </c>
      <c r="BD179">
        <f>BC179*$BA$177</f>
        <v>1.35</v>
      </c>
    </row>
    <row r="180" spans="3:56" x14ac:dyDescent="0.25">
      <c r="C180">
        <v>5.0000000000000001E-4</v>
      </c>
      <c r="D180">
        <f>D201*2/SQRT(PI())</f>
        <v>2.8000520072370128</v>
      </c>
      <c r="E180">
        <f>C180*4/SQRT(PI())</f>
        <v>1.1283791670955127E-3</v>
      </c>
      <c r="F180">
        <v>5.0397545457129427E-4</v>
      </c>
      <c r="G180">
        <f>G201*2/SQRT(PI())</f>
        <v>2.4856183063532549</v>
      </c>
      <c r="H180">
        <f>F180*4/SQRT(PI())</f>
        <v>1.1373508073314789E-3</v>
      </c>
      <c r="I180">
        <v>4.921429209236623E-4</v>
      </c>
      <c r="J180">
        <f>J201*2/SQRT(PI())</f>
        <v>1.3552490525432879</v>
      </c>
      <c r="K180">
        <f>I180*4/SQRT(PI())</f>
        <v>1.1106476384075896E-3</v>
      </c>
      <c r="L180">
        <v>5.0397545457129427E-4</v>
      </c>
      <c r="M180">
        <f>M201*2/SQRT(PI())</f>
        <v>1.7997647715173426</v>
      </c>
      <c r="N180">
        <f>L180*4/SQRT(PI())</f>
        <v>1.1373508073314789E-3</v>
      </c>
      <c r="AI180">
        <v>2E-3</v>
      </c>
      <c r="AJ180">
        <v>1.94</v>
      </c>
      <c r="AK180">
        <v>2E-3</v>
      </c>
      <c r="AL180">
        <v>1.31</v>
      </c>
      <c r="AW180">
        <v>0.01</v>
      </c>
      <c r="AX180">
        <v>1.87</v>
      </c>
      <c r="AY180">
        <v>0.01</v>
      </c>
      <c r="AZ180">
        <v>1.363</v>
      </c>
      <c r="BA180">
        <f t="shared" ref="BA180:BA191" si="26">AZ180*$BA$177</f>
        <v>1.35</v>
      </c>
      <c r="BB180">
        <v>0.01</v>
      </c>
      <c r="BC180">
        <v>1.363</v>
      </c>
      <c r="BD180">
        <f t="shared" ref="BD180:BD191" si="27">BC180*$BA$177</f>
        <v>1.35</v>
      </c>
    </row>
    <row r="181" spans="3:56" x14ac:dyDescent="0.25">
      <c r="C181">
        <v>1.1575623183947129E-3</v>
      </c>
      <c r="D181">
        <f t="shared" ref="D181:D192" si="28">D202*2/SQRT(PI())</f>
        <v>2.7901015736647419</v>
      </c>
      <c r="E181">
        <f t="shared" ref="E181:E192" si="29">C181*4/SQRT(PI())</f>
        <v>2.6123384093827535E-3</v>
      </c>
      <c r="F181">
        <v>1.345527623708449E-3</v>
      </c>
      <c r="G181">
        <f t="shared" ref="G181:G194" si="30">G202*2/SQRT(PI())</f>
        <v>2.479648046209892</v>
      </c>
      <c r="H181">
        <f t="shared" ref="H181:H194" si="31">F181*4/SQRT(PI())</f>
        <v>3.0365306786882883E-3</v>
      </c>
      <c r="I181">
        <v>1.295852464254485E-2</v>
      </c>
      <c r="J181">
        <f t="shared" ref="J181:J187" si="32">J202*2/SQRT(PI())</f>
        <v>1.3552490525432879</v>
      </c>
      <c r="K181">
        <f t="shared" ref="K181:K187" si="33">I181*4/SQRT(PI())</f>
        <v>2.9244258485882867E-2</v>
      </c>
      <c r="L181">
        <v>1.345527623708449E-3</v>
      </c>
      <c r="M181">
        <f t="shared" ref="M181:M194" si="34">M202*2/SQRT(PI())</f>
        <v>1.7997647715173426</v>
      </c>
      <c r="N181">
        <f t="shared" ref="N181:N194" si="35">L181*4/SQRT(PI())</f>
        <v>3.0365306786882883E-3</v>
      </c>
      <c r="V181" t="s">
        <v>81</v>
      </c>
      <c r="X181" t="s">
        <v>207</v>
      </c>
      <c r="AI181">
        <v>5.0099091401717153E-3</v>
      </c>
      <c r="AJ181">
        <v>1.9</v>
      </c>
      <c r="AK181">
        <v>5.0099091401717153E-3</v>
      </c>
      <c r="AL181">
        <v>1.3</v>
      </c>
      <c r="AW181">
        <v>2.328465172115329E-2</v>
      </c>
      <c r="AX181">
        <v>1.77</v>
      </c>
      <c r="AY181">
        <v>2.328465172115329E-2</v>
      </c>
      <c r="AZ181">
        <v>1.363</v>
      </c>
      <c r="BA181">
        <f t="shared" si="26"/>
        <v>1.35</v>
      </c>
      <c r="BB181">
        <v>2.328465172115329E-2</v>
      </c>
      <c r="BC181">
        <v>1.32</v>
      </c>
      <c r="BD181">
        <f t="shared" si="27"/>
        <v>1.3074101247248717</v>
      </c>
    </row>
    <row r="182" spans="3:56" x14ac:dyDescent="0.25">
      <c r="C182">
        <v>3.5923269074732175E-3</v>
      </c>
      <c r="D182">
        <f t="shared" si="28"/>
        <v>2.7264187988022091</v>
      </c>
      <c r="E182">
        <f t="shared" si="29"/>
        <v>8.1070136875788564E-3</v>
      </c>
      <c r="F182">
        <v>5.0099091401717153E-3</v>
      </c>
      <c r="G182">
        <f t="shared" si="30"/>
        <v>2.4429408967617849</v>
      </c>
      <c r="H182">
        <f t="shared" si="31"/>
        <v>1.1306154205622311E-2</v>
      </c>
      <c r="I182">
        <v>0.10484606114861872</v>
      </c>
      <c r="J182">
        <f t="shared" si="32"/>
        <v>1.410971480548004</v>
      </c>
      <c r="K182">
        <f t="shared" si="33"/>
        <v>0.23661222230424717</v>
      </c>
      <c r="L182">
        <v>5.0099091401717153E-3</v>
      </c>
      <c r="M182">
        <f t="shared" si="34"/>
        <v>1.7997647715173426</v>
      </c>
      <c r="N182">
        <f t="shared" si="35"/>
        <v>1.1306154205622311E-2</v>
      </c>
      <c r="V182">
        <v>5.0397545457129427E-4</v>
      </c>
      <c r="W182">
        <v>2.2028218694885364</v>
      </c>
      <c r="X182">
        <v>5.0397545457129427E-4</v>
      </c>
      <c r="Y182">
        <v>1.595</v>
      </c>
      <c r="AI182">
        <v>1.1236904826653323E-2</v>
      </c>
      <c r="AJ182">
        <v>1.84</v>
      </c>
      <c r="AK182">
        <v>1.1236904826653323E-2</v>
      </c>
      <c r="AL182">
        <v>1.28</v>
      </c>
      <c r="AW182">
        <v>4.2845190343574882E-2</v>
      </c>
      <c r="AX182">
        <v>1.69</v>
      </c>
      <c r="AY182">
        <v>4.2845190343574882E-2</v>
      </c>
      <c r="AZ182">
        <v>1.34</v>
      </c>
      <c r="BA182">
        <f t="shared" si="26"/>
        <v>1.3272193690388849</v>
      </c>
      <c r="BB182">
        <v>4.2845190343574882E-2</v>
      </c>
      <c r="BC182">
        <v>1.28</v>
      </c>
      <c r="BD182">
        <f t="shared" si="27"/>
        <v>1.2677916360968453</v>
      </c>
    </row>
    <row r="183" spans="3:56" x14ac:dyDescent="0.25">
      <c r="C183">
        <v>1.2554459941484396E-2</v>
      </c>
      <c r="D183">
        <f t="shared" si="28"/>
        <v>2.5791523819326003</v>
      </c>
      <c r="E183">
        <f t="shared" si="29"/>
        <v>2.8332382104212284E-2</v>
      </c>
      <c r="F183">
        <v>1.1236904826653323E-2</v>
      </c>
      <c r="G183">
        <f t="shared" si="30"/>
        <v>2.3801437104871837</v>
      </c>
      <c r="H183">
        <f t="shared" si="31"/>
        <v>2.5358978618061245E-2</v>
      </c>
      <c r="I183">
        <v>0.53164925103728866</v>
      </c>
      <c r="J183">
        <f t="shared" si="32"/>
        <v>1.588089198134425</v>
      </c>
      <c r="K183">
        <f t="shared" si="33"/>
        <v>1.1998038781448177</v>
      </c>
      <c r="L183">
        <v>1.1236904826653323E-2</v>
      </c>
      <c r="M183">
        <f t="shared" si="34"/>
        <v>1.7941228756818652</v>
      </c>
      <c r="N183">
        <f t="shared" si="35"/>
        <v>2.5358978618061245E-2</v>
      </c>
      <c r="V183">
        <v>1.345527623708449E-3</v>
      </c>
      <c r="W183">
        <v>2.1975308641975309</v>
      </c>
      <c r="X183">
        <v>1.345527623708449E-3</v>
      </c>
      <c r="Y183">
        <v>1.595</v>
      </c>
      <c r="AI183">
        <v>2.328465172115329E-2</v>
      </c>
      <c r="AJ183">
        <v>1.75</v>
      </c>
      <c r="AK183">
        <v>2.328465172115329E-2</v>
      </c>
      <c r="AL183">
        <v>1.25</v>
      </c>
      <c r="AW183">
        <v>7.5179272930657556E-2</v>
      </c>
      <c r="AX183">
        <v>1.63</v>
      </c>
      <c r="AY183">
        <v>7.5179272930657556E-2</v>
      </c>
      <c r="AZ183">
        <v>1.31</v>
      </c>
      <c r="BA183">
        <f t="shared" si="26"/>
        <v>1.2975055025678652</v>
      </c>
      <c r="BB183">
        <v>7.5179272930657556E-2</v>
      </c>
      <c r="BC183">
        <v>1.24</v>
      </c>
      <c r="BD183">
        <f t="shared" si="27"/>
        <v>1.2281731474688189</v>
      </c>
    </row>
    <row r="184" spans="3:56" x14ac:dyDescent="0.25">
      <c r="C184">
        <v>3.2991533785558011E-2</v>
      </c>
      <c r="D184">
        <f t="shared" si="28"/>
        <v>2.3582527566281883</v>
      </c>
      <c r="E184">
        <f t="shared" si="29"/>
        <v>7.4453918828302823E-2</v>
      </c>
      <c r="F184">
        <v>2.328465172115329E-2</v>
      </c>
      <c r="G184">
        <f t="shared" si="30"/>
        <v>2.3025303286234711</v>
      </c>
      <c r="H184">
        <f t="shared" si="31"/>
        <v>5.2547831830448088E-2</v>
      </c>
      <c r="I184">
        <v>1.5363927478867607</v>
      </c>
      <c r="J184">
        <f t="shared" si="32"/>
        <v>1.9602354137373545</v>
      </c>
      <c r="K184">
        <f t="shared" si="33"/>
        <v>3.4672671383840981</v>
      </c>
      <c r="L184">
        <v>2.328465172115329E-2</v>
      </c>
      <c r="M184">
        <f t="shared" si="34"/>
        <v>1.7828390840109101</v>
      </c>
      <c r="N184">
        <f t="shared" si="35"/>
        <v>5.2547831830448088E-2</v>
      </c>
      <c r="V184">
        <v>5.0099091401717153E-3</v>
      </c>
      <c r="W184">
        <v>2.165</v>
      </c>
      <c r="X184">
        <v>5.0099091401717153E-3</v>
      </c>
      <c r="Y184">
        <v>1.595</v>
      </c>
      <c r="AI184">
        <v>4.2845190343574882E-2</v>
      </c>
      <c r="AJ184">
        <v>1.65</v>
      </c>
      <c r="AK184">
        <v>4.2845190343574882E-2</v>
      </c>
      <c r="AL184">
        <v>1.22</v>
      </c>
      <c r="AW184">
        <v>0.11713952329564974</v>
      </c>
      <c r="AX184">
        <v>1.57</v>
      </c>
      <c r="AY184">
        <v>0.11713952329564974</v>
      </c>
      <c r="AZ184">
        <v>1.28</v>
      </c>
      <c r="BA184">
        <f t="shared" si="26"/>
        <v>1.2677916360968453</v>
      </c>
      <c r="BB184">
        <v>0.11713952329564974</v>
      </c>
      <c r="BC184">
        <v>1.2</v>
      </c>
      <c r="BD184">
        <f t="shared" si="27"/>
        <v>1.1885546588407925</v>
      </c>
    </row>
    <row r="185" spans="3:56" x14ac:dyDescent="0.25">
      <c r="C185">
        <v>5.6530185225701961E-2</v>
      </c>
      <c r="D185">
        <f t="shared" si="28"/>
        <v>2.2109863397585801</v>
      </c>
      <c r="E185">
        <f t="shared" si="29"/>
        <v>0.12757496664146528</v>
      </c>
      <c r="F185">
        <v>4.2845190343574882E-2</v>
      </c>
      <c r="G185">
        <f t="shared" si="30"/>
        <v>2.1970557327574007</v>
      </c>
      <c r="H185">
        <f t="shared" si="31"/>
        <v>9.6691240387863461E-2</v>
      </c>
      <c r="I185">
        <v>2.7606823329251586</v>
      </c>
      <c r="J185">
        <f t="shared" si="32"/>
        <v>2.3881040573450001</v>
      </c>
      <c r="K185">
        <f t="shared" si="33"/>
        <v>6.2301928628827747</v>
      </c>
      <c r="L185">
        <v>4.2845190343574882E-2</v>
      </c>
      <c r="M185">
        <f t="shared" si="34"/>
        <v>1.7715552923399549</v>
      </c>
      <c r="N185">
        <f t="shared" si="35"/>
        <v>9.6691240387863461E-2</v>
      </c>
      <c r="V185">
        <v>1.1236904826653323E-2</v>
      </c>
      <c r="W185">
        <v>2.1093474426807761</v>
      </c>
      <c r="X185">
        <v>1.1236904826653323E-2</v>
      </c>
      <c r="Y185">
        <v>1.59</v>
      </c>
      <c r="AI185">
        <v>7.5179272930657556E-2</v>
      </c>
      <c r="AJ185">
        <v>1.55</v>
      </c>
      <c r="AK185">
        <v>7.5179272930657556E-2</v>
      </c>
      <c r="AL185">
        <v>1.2</v>
      </c>
      <c r="AW185">
        <v>0.17823403562352408</v>
      </c>
      <c r="AX185">
        <v>1.52</v>
      </c>
      <c r="AY185">
        <v>0.17823403562352408</v>
      </c>
      <c r="AZ185">
        <v>1.26</v>
      </c>
      <c r="BA185">
        <f t="shared" si="26"/>
        <v>1.2479823917828321</v>
      </c>
      <c r="BB185">
        <v>0.17823403562352408</v>
      </c>
      <c r="BC185">
        <v>1.175</v>
      </c>
      <c r="BD185">
        <f t="shared" si="27"/>
        <v>1.163793103448276</v>
      </c>
    </row>
    <row r="186" spans="3:56" x14ac:dyDescent="0.25">
      <c r="C186">
        <v>0.11082245991844686</v>
      </c>
      <c r="D186">
        <f t="shared" si="28"/>
        <v>2.0119776683131629</v>
      </c>
      <c r="E186">
        <f t="shared" si="29"/>
        <v>0.25009951003650582</v>
      </c>
      <c r="F186">
        <v>7.5179272930657556E-2</v>
      </c>
      <c r="G186">
        <f t="shared" si="30"/>
        <v>2.0856108767479671</v>
      </c>
      <c r="H186">
        <f t="shared" si="31"/>
        <v>0.1696614507446832</v>
      </c>
      <c r="I186">
        <v>3.7596922011897709</v>
      </c>
      <c r="J186">
        <f t="shared" si="32"/>
        <v>2.7184584519443922</v>
      </c>
      <c r="K186">
        <f t="shared" si="33"/>
        <v>8.4847167090280173</v>
      </c>
      <c r="L186">
        <v>7.5179272930657556E-2</v>
      </c>
      <c r="M186">
        <f t="shared" si="34"/>
        <v>1.7602715006689997</v>
      </c>
      <c r="N186">
        <f t="shared" si="35"/>
        <v>0.1696614507446832</v>
      </c>
      <c r="V186">
        <v>2.328465172115329E-2</v>
      </c>
      <c r="W186">
        <v>2.0405643738977073</v>
      </c>
      <c r="X186">
        <v>2.328465172115329E-2</v>
      </c>
      <c r="Y186">
        <v>1.58</v>
      </c>
      <c r="AI186">
        <v>0.11713952329564974</v>
      </c>
      <c r="AJ186">
        <v>1.47</v>
      </c>
      <c r="AK186">
        <v>0.11713952329564974</v>
      </c>
      <c r="AL186">
        <v>1.1599999999999999</v>
      </c>
      <c r="AW186">
        <v>0.25656780726680473</v>
      </c>
      <c r="AX186">
        <v>1.5</v>
      </c>
      <c r="AY186">
        <v>0.3</v>
      </c>
      <c r="AZ186">
        <v>1.26</v>
      </c>
      <c r="BA186">
        <f t="shared" si="26"/>
        <v>1.2479823917828321</v>
      </c>
      <c r="BB186">
        <v>0.3</v>
      </c>
      <c r="BC186">
        <v>1.17</v>
      </c>
      <c r="BD186">
        <f t="shared" si="27"/>
        <v>1.1588407923697726</v>
      </c>
    </row>
    <row r="187" spans="3:56" x14ac:dyDescent="0.25">
      <c r="C187">
        <v>0.30299060457423937</v>
      </c>
      <c r="D187">
        <f t="shared" si="28"/>
        <v>1.7811276094364799</v>
      </c>
      <c r="E187">
        <f t="shared" si="29"/>
        <v>0.68377657205449216</v>
      </c>
      <c r="F187">
        <v>0.11713952329564974</v>
      </c>
      <c r="G187">
        <f t="shared" si="30"/>
        <v>1.9662056738807172</v>
      </c>
      <c r="H187">
        <f t="shared" si="31"/>
        <v>0.26435559546062132</v>
      </c>
      <c r="I187">
        <v>4.9605590457309576</v>
      </c>
      <c r="J187">
        <f t="shared" si="32"/>
        <v>3.1323964885508593</v>
      </c>
      <c r="K187">
        <f t="shared" si="33"/>
        <v>11.194782968700018</v>
      </c>
      <c r="L187">
        <v>0.11713952329564974</v>
      </c>
      <c r="M187">
        <f t="shared" si="34"/>
        <v>1.7546296048335221</v>
      </c>
      <c r="N187">
        <f t="shared" si="35"/>
        <v>0.26435559546062132</v>
      </c>
      <c r="V187">
        <v>4.2845190343574882E-2</v>
      </c>
      <c r="W187">
        <v>1.9470899470899474</v>
      </c>
      <c r="X187">
        <v>4.2845190343574882E-2</v>
      </c>
      <c r="Y187">
        <v>1.57</v>
      </c>
      <c r="AI187">
        <v>0.17823403562352408</v>
      </c>
      <c r="AJ187">
        <v>1.41</v>
      </c>
      <c r="AK187">
        <v>0.17823403562352408</v>
      </c>
      <c r="AL187">
        <v>1.1399999999999999</v>
      </c>
      <c r="AW187">
        <v>0.55000000000000004</v>
      </c>
      <c r="AX187">
        <v>1.49</v>
      </c>
      <c r="AY187">
        <v>0.55000000000000004</v>
      </c>
      <c r="AZ187">
        <v>1.31</v>
      </c>
      <c r="BA187">
        <f t="shared" si="26"/>
        <v>1.2975055025678652</v>
      </c>
      <c r="BB187">
        <v>0.55000000000000004</v>
      </c>
      <c r="BC187">
        <v>1.18</v>
      </c>
      <c r="BD187">
        <f t="shared" si="27"/>
        <v>1.1687454145267793</v>
      </c>
    </row>
    <row r="188" spans="3:56" x14ac:dyDescent="0.25">
      <c r="C188">
        <v>0.58930097311554064</v>
      </c>
      <c r="D188">
        <f t="shared" si="28"/>
        <v>1.749286222005213</v>
      </c>
      <c r="E188">
        <f t="shared" si="29"/>
        <v>1.3299098824253777</v>
      </c>
      <c r="F188">
        <v>0.17823403562352408</v>
      </c>
      <c r="G188">
        <f t="shared" si="30"/>
        <v>1.8686914248724624</v>
      </c>
      <c r="H188">
        <f t="shared" si="31"/>
        <v>0.40223114532988807</v>
      </c>
      <c r="L188">
        <v>0.17823403562352408</v>
      </c>
      <c r="M188">
        <f t="shared" si="34"/>
        <v>1.7377039173270896</v>
      </c>
      <c r="N188">
        <f t="shared" si="35"/>
        <v>0.40223114532988807</v>
      </c>
      <c r="V188">
        <v>7.5179272930657556E-2</v>
      </c>
      <c r="W188">
        <v>1.8483245149911816</v>
      </c>
      <c r="X188">
        <v>7.5179272930657556E-2</v>
      </c>
      <c r="Y188">
        <v>1.56</v>
      </c>
      <c r="AI188">
        <v>0.25656780726680473</v>
      </c>
      <c r="AJ188">
        <v>1.36</v>
      </c>
      <c r="AK188">
        <v>0.25656780726680473</v>
      </c>
      <c r="AL188">
        <v>1.1299999999999999</v>
      </c>
      <c r="AW188">
        <v>1.2308342792070741</v>
      </c>
      <c r="AX188">
        <v>1.61</v>
      </c>
      <c r="AY188">
        <v>1.2308342792070741</v>
      </c>
      <c r="AZ188">
        <v>1.47</v>
      </c>
      <c r="BA188">
        <f t="shared" si="26"/>
        <v>1.4559794570799707</v>
      </c>
      <c r="BB188">
        <v>1.2308342792070741</v>
      </c>
      <c r="BC188">
        <v>1.27</v>
      </c>
      <c r="BD188">
        <f t="shared" si="27"/>
        <v>1.2578870139398388</v>
      </c>
    </row>
    <row r="189" spans="3:56" x14ac:dyDescent="0.25">
      <c r="C189">
        <v>1.3113379514182093</v>
      </c>
      <c r="D189">
        <f t="shared" si="28"/>
        <v>1.8846121185880964</v>
      </c>
      <c r="E189">
        <f t="shared" si="29"/>
        <v>2.9593728508040296</v>
      </c>
      <c r="F189">
        <v>0.25656780726680473</v>
      </c>
      <c r="G189">
        <f t="shared" si="30"/>
        <v>1.7970483031521127</v>
      </c>
      <c r="H189">
        <f t="shared" si="31"/>
        <v>0.5790115373344783</v>
      </c>
      <c r="L189">
        <v>0.25656780726680473</v>
      </c>
      <c r="M189">
        <f t="shared" si="34"/>
        <v>1.7264201256561345</v>
      </c>
      <c r="N189">
        <f t="shared" si="35"/>
        <v>0.5790115373344783</v>
      </c>
      <c r="V189">
        <v>0.11713952329564974</v>
      </c>
      <c r="W189">
        <v>1.742504409171076</v>
      </c>
      <c r="X189">
        <v>0.11713952329564974</v>
      </c>
      <c r="Y189">
        <v>1.5549999999999999</v>
      </c>
      <c r="AI189">
        <v>0.55000000000000004</v>
      </c>
      <c r="AJ189">
        <v>1.33</v>
      </c>
      <c r="AK189">
        <v>0.4</v>
      </c>
      <c r="AL189">
        <v>1.1200000000000001</v>
      </c>
      <c r="AW189">
        <v>2.3377035526039402</v>
      </c>
      <c r="AX189">
        <v>1.88</v>
      </c>
      <c r="AY189">
        <v>2.3377035526039402</v>
      </c>
      <c r="AZ189">
        <v>1.73</v>
      </c>
      <c r="BA189">
        <f t="shared" si="26"/>
        <v>1.7134996331621424</v>
      </c>
      <c r="BB189">
        <v>2.3377035526039402</v>
      </c>
      <c r="BC189">
        <v>1.41</v>
      </c>
      <c r="BD189">
        <f t="shared" si="27"/>
        <v>1.396551724137931</v>
      </c>
    </row>
    <row r="190" spans="3:56" x14ac:dyDescent="0.25">
      <c r="C190">
        <v>2.1597109376080574</v>
      </c>
      <c r="D190">
        <f t="shared" si="28"/>
        <v>2.1791449523273134</v>
      </c>
      <c r="E190">
        <f t="shared" si="29"/>
        <v>4.8739456578904967</v>
      </c>
      <c r="F190">
        <v>0.51507169289582355</v>
      </c>
      <c r="G190">
        <f t="shared" si="30"/>
        <v>1.7489877089980448</v>
      </c>
      <c r="H190">
        <f t="shared" si="31"/>
        <v>1.1623923356485302</v>
      </c>
      <c r="L190">
        <v>0.4</v>
      </c>
      <c r="M190">
        <f t="shared" si="34"/>
        <v>1.7151363339851793</v>
      </c>
      <c r="N190">
        <f t="shared" si="35"/>
        <v>0.9027033336764102</v>
      </c>
      <c r="V190">
        <v>0.17823403562352408</v>
      </c>
      <c r="W190">
        <v>1.6560846560846558</v>
      </c>
      <c r="X190">
        <v>0.17823403562352408</v>
      </c>
      <c r="Y190">
        <v>1.54</v>
      </c>
      <c r="AI190">
        <v>1.2308342792070741</v>
      </c>
      <c r="AJ190">
        <v>1.45</v>
      </c>
      <c r="AK190">
        <v>0.6</v>
      </c>
      <c r="AL190">
        <v>1.1299999999999999</v>
      </c>
      <c r="AW190">
        <v>3.5569407024172444</v>
      </c>
      <c r="AX190">
        <v>2.2000000000000002</v>
      </c>
      <c r="AY190">
        <v>3.5569407024172444</v>
      </c>
      <c r="AZ190">
        <v>2.0499999999999998</v>
      </c>
      <c r="BA190">
        <f t="shared" si="26"/>
        <v>2.0304475421863537</v>
      </c>
      <c r="BB190">
        <v>3.5569407024172444</v>
      </c>
      <c r="BC190">
        <v>1.57</v>
      </c>
      <c r="BD190">
        <f t="shared" si="27"/>
        <v>1.5550256786500369</v>
      </c>
    </row>
    <row r="191" spans="3:56" x14ac:dyDescent="0.25">
      <c r="C191">
        <v>3.7300350315551936</v>
      </c>
      <c r="D191">
        <f t="shared" si="28"/>
        <v>2.7065179316576669</v>
      </c>
      <c r="E191">
        <f t="shared" si="29"/>
        <v>8.4177876442866673</v>
      </c>
      <c r="F191">
        <v>1.2308342792070741</v>
      </c>
      <c r="G191">
        <f t="shared" si="30"/>
        <v>1.873109417378551</v>
      </c>
      <c r="H191">
        <f t="shared" si="31"/>
        <v>2.777695517608568</v>
      </c>
      <c r="L191">
        <v>0.6</v>
      </c>
      <c r="M191">
        <f t="shared" si="34"/>
        <v>1.7264201256561345</v>
      </c>
      <c r="N191">
        <f t="shared" si="35"/>
        <v>1.3540550005146152</v>
      </c>
      <c r="V191">
        <v>0.25656780726680473</v>
      </c>
      <c r="W191">
        <v>1.5925925925925926</v>
      </c>
      <c r="X191">
        <v>0.25656780726680473</v>
      </c>
      <c r="Y191">
        <v>1.53</v>
      </c>
      <c r="AI191">
        <v>2.3377035526039402</v>
      </c>
      <c r="AJ191">
        <v>1.7</v>
      </c>
      <c r="AK191">
        <v>1.2308342792070741</v>
      </c>
      <c r="AL191">
        <v>1.2</v>
      </c>
      <c r="AW191">
        <v>5</v>
      </c>
      <c r="AX191">
        <v>2.7</v>
      </c>
      <c r="AY191">
        <v>5</v>
      </c>
      <c r="AZ191">
        <v>2.5</v>
      </c>
      <c r="BA191">
        <f t="shared" si="26"/>
        <v>2.4761555392516508</v>
      </c>
      <c r="BB191">
        <v>5</v>
      </c>
      <c r="BC191">
        <v>1.74</v>
      </c>
      <c r="BD191">
        <f t="shared" si="27"/>
        <v>1.7234042553191491</v>
      </c>
    </row>
    <row r="192" spans="3:56" x14ac:dyDescent="0.25">
      <c r="C192">
        <v>5</v>
      </c>
      <c r="D192">
        <f t="shared" si="28"/>
        <v>3.1483171822664922</v>
      </c>
      <c r="E192">
        <f t="shared" si="29"/>
        <v>11.283791670955127</v>
      </c>
      <c r="F192">
        <v>2.3377035526039402</v>
      </c>
      <c r="G192">
        <f t="shared" si="30"/>
        <v>2.2454745425200704</v>
      </c>
      <c r="H192">
        <f t="shared" si="31"/>
        <v>5.2756319752069105</v>
      </c>
      <c r="L192">
        <v>1.2308342792070741</v>
      </c>
      <c r="M192">
        <f t="shared" si="34"/>
        <v>1.873109417378551</v>
      </c>
      <c r="N192">
        <f t="shared" si="35"/>
        <v>2.777695517608568</v>
      </c>
      <c r="V192">
        <v>0.51507169289582355</v>
      </c>
      <c r="W192">
        <v>1.55</v>
      </c>
      <c r="X192">
        <v>0.4</v>
      </c>
      <c r="Y192">
        <v>1.52</v>
      </c>
      <c r="AI192">
        <v>3.5569407024172444</v>
      </c>
      <c r="AJ192">
        <v>1.97</v>
      </c>
      <c r="AK192">
        <v>2.3377035526039402</v>
      </c>
      <c r="AL192">
        <v>1.36</v>
      </c>
    </row>
    <row r="193" spans="3:52" x14ac:dyDescent="0.25">
      <c r="F193">
        <v>3.5569407024172444</v>
      </c>
      <c r="G193">
        <f t="shared" si="30"/>
        <v>2.6607459372252209</v>
      </c>
      <c r="H193">
        <f t="shared" si="31"/>
        <v>8.0271555744033964</v>
      </c>
      <c r="L193">
        <v>2.3377035526039402</v>
      </c>
      <c r="M193">
        <f t="shared" si="34"/>
        <v>2.2454745425200704</v>
      </c>
      <c r="N193">
        <f t="shared" si="35"/>
        <v>5.2756319752069105</v>
      </c>
      <c r="V193">
        <v>1.2308342792070741</v>
      </c>
      <c r="W193">
        <v>1.66</v>
      </c>
      <c r="X193">
        <v>0.6</v>
      </c>
      <c r="Y193">
        <v>1.53</v>
      </c>
      <c r="AI193">
        <v>5</v>
      </c>
      <c r="AJ193">
        <v>2.33</v>
      </c>
      <c r="AK193">
        <v>3.5569407024172444</v>
      </c>
      <c r="AL193">
        <v>1.55</v>
      </c>
    </row>
    <row r="194" spans="3:52" x14ac:dyDescent="0.25">
      <c r="F194">
        <v>5.1202144046431251</v>
      </c>
      <c r="G194">
        <f t="shared" si="30"/>
        <v>3.1594616678674354</v>
      </c>
      <c r="H194">
        <f t="shared" si="31"/>
        <v>11.555086530523312</v>
      </c>
      <c r="L194">
        <v>3.5569407024172444</v>
      </c>
      <c r="M194">
        <f t="shared" si="34"/>
        <v>2.6607459372252209</v>
      </c>
      <c r="N194">
        <f t="shared" si="35"/>
        <v>8.0271555744033964</v>
      </c>
      <c r="V194">
        <v>2.3377035526039402</v>
      </c>
      <c r="W194">
        <v>1.99</v>
      </c>
      <c r="X194">
        <v>1.2308342792070741</v>
      </c>
      <c r="Y194">
        <v>1.66</v>
      </c>
    </row>
    <row r="195" spans="3:52" x14ac:dyDescent="0.25">
      <c r="V195">
        <v>3.5569407024172444</v>
      </c>
      <c r="W195">
        <v>2.3580246913580245</v>
      </c>
      <c r="X195">
        <v>2.3377035526039402</v>
      </c>
      <c r="Y195">
        <v>1.99</v>
      </c>
    </row>
    <row r="196" spans="3:52" x14ac:dyDescent="0.25">
      <c r="V196">
        <v>5</v>
      </c>
      <c r="W196">
        <v>2.8</v>
      </c>
      <c r="X196">
        <v>3.5569407024172444</v>
      </c>
      <c r="Y196">
        <v>2.3580246913580245</v>
      </c>
    </row>
    <row r="197" spans="3:52" x14ac:dyDescent="0.25">
      <c r="AI197" s="12" t="s">
        <v>208</v>
      </c>
      <c r="AW197" s="12" t="s">
        <v>208</v>
      </c>
    </row>
    <row r="198" spans="3:52" x14ac:dyDescent="0.25">
      <c r="C198" s="12" t="s">
        <v>83</v>
      </c>
      <c r="AI198" t="s">
        <v>67</v>
      </c>
      <c r="AJ198" t="s">
        <v>70</v>
      </c>
      <c r="AW198" t="s">
        <v>67</v>
      </c>
      <c r="AX198" t="s">
        <v>70</v>
      </c>
    </row>
    <row r="199" spans="3:52" x14ac:dyDescent="0.25">
      <c r="C199" t="s">
        <v>78</v>
      </c>
      <c r="F199" t="s">
        <v>85</v>
      </c>
      <c r="I199" t="s">
        <v>84</v>
      </c>
      <c r="L199" t="s">
        <v>207</v>
      </c>
      <c r="AI199">
        <f>AI179*4/SQRT(PI())</f>
        <v>2.2567583341910253E-3</v>
      </c>
      <c r="AJ199">
        <f>AJ179*2/SQRT(PI())</f>
        <v>2.2003393758362497</v>
      </c>
      <c r="AK199">
        <f>AK179*4/SQRT(PI())</f>
        <v>2.2567583341910253E-3</v>
      </c>
      <c r="AL199">
        <f>AL179*2/SQRT(PI())</f>
        <v>1.4781767088951216</v>
      </c>
      <c r="AW199">
        <f>AW179*4/SQRT(PI())</f>
        <v>1.1283791670955126E-2</v>
      </c>
      <c r="AX199">
        <f>AX179*2/SQRT(PI())</f>
        <v>2.2229069591781601</v>
      </c>
      <c r="AY199">
        <f>AY179*4/SQRT(PI())</f>
        <v>1.1283791670955126E-2</v>
      </c>
      <c r="AZ199">
        <f>AZ179*2/SQRT(PI())</f>
        <v>1.5379808047511838</v>
      </c>
    </row>
    <row r="200" spans="3:52" x14ac:dyDescent="0.25">
      <c r="C200" t="s">
        <v>19</v>
      </c>
      <c r="D200" t="s">
        <v>73</v>
      </c>
      <c r="E200" t="s">
        <v>67</v>
      </c>
      <c r="F200" t="s">
        <v>19</v>
      </c>
      <c r="G200" t="s">
        <v>73</v>
      </c>
      <c r="H200" t="s">
        <v>67</v>
      </c>
      <c r="I200" t="s">
        <v>19</v>
      </c>
      <c r="J200" t="s">
        <v>73</v>
      </c>
      <c r="K200" t="s">
        <v>67</v>
      </c>
      <c r="L200" t="s">
        <v>19</v>
      </c>
      <c r="M200" t="s">
        <v>73</v>
      </c>
      <c r="N200" t="s">
        <v>67</v>
      </c>
      <c r="AI200">
        <f t="shared" ref="AI200:AI215" si="36">AI180*4/SQRT(PI())</f>
        <v>4.5135166683820506E-3</v>
      </c>
      <c r="AJ200">
        <f t="shared" ref="AJ200:AJ215" si="37">AJ180*2/SQRT(PI())</f>
        <v>2.1890555841652946</v>
      </c>
      <c r="AK200">
        <f t="shared" ref="AK200:AK215" si="38">AK180*4/SQRT(PI())</f>
        <v>4.5135166683820506E-3</v>
      </c>
      <c r="AL200">
        <f t="shared" ref="AL200:AL215" si="39">AL180*2/SQRT(PI())</f>
        <v>1.4781767088951216</v>
      </c>
      <c r="AW200">
        <f t="shared" ref="AW200:AW215" si="40">AW180*4/SQRT(PI())</f>
        <v>2.2567583341910252E-2</v>
      </c>
      <c r="AX200">
        <f t="shared" ref="AX200:AX215" si="41">AX180*2/SQRT(PI())</f>
        <v>2.1100690424686088</v>
      </c>
      <c r="AY200">
        <f t="shared" ref="AY200:AY215" si="42">AY180*4/SQRT(PI())</f>
        <v>2.2567583341910252E-2</v>
      </c>
      <c r="AZ200">
        <f t="shared" ref="AZ200:AZ215" si="43">AZ180*2/SQRT(PI())</f>
        <v>1.5379808047511838</v>
      </c>
    </row>
    <row r="201" spans="3:52" x14ac:dyDescent="0.25">
      <c r="C201">
        <v>5.0000000000000001E-4</v>
      </c>
      <c r="D201">
        <v>2.4814814814814814</v>
      </c>
      <c r="E201">
        <f>C201*2/SQRT(PI())</f>
        <v>5.6418958354775633E-4</v>
      </c>
      <c r="F201">
        <v>5.0397545457129427E-4</v>
      </c>
      <c r="G201">
        <v>2.2028218694885364</v>
      </c>
      <c r="H201">
        <f>F201*4/SQRT(PI())</f>
        <v>1.1373508073314789E-3</v>
      </c>
      <c r="I201">
        <v>4.921429209236623E-4</v>
      </c>
      <c r="J201">
        <v>1.2010582010582012</v>
      </c>
      <c r="K201">
        <f>I201*4/SQRT(PI())</f>
        <v>1.1106476384075896E-3</v>
      </c>
      <c r="L201">
        <v>5.0397545457129427E-4</v>
      </c>
      <c r="M201">
        <v>1.595</v>
      </c>
      <c r="N201">
        <f>L201*4/SQRT(PI())</f>
        <v>1.1373508073314789E-3</v>
      </c>
      <c r="AI201">
        <f t="shared" si="36"/>
        <v>1.1306154205622311E-2</v>
      </c>
      <c r="AJ201">
        <f t="shared" si="37"/>
        <v>2.1439204174814739</v>
      </c>
      <c r="AK201">
        <f t="shared" si="38"/>
        <v>1.1306154205622311E-2</v>
      </c>
      <c r="AL201">
        <f t="shared" si="39"/>
        <v>1.4668929172241665</v>
      </c>
      <c r="AW201">
        <f t="shared" si="40"/>
        <v>5.2547831830448088E-2</v>
      </c>
      <c r="AX201">
        <f t="shared" si="41"/>
        <v>1.9972311257590574</v>
      </c>
      <c r="AY201">
        <f t="shared" si="42"/>
        <v>5.2547831830448088E-2</v>
      </c>
      <c r="AZ201">
        <f t="shared" si="43"/>
        <v>1.5379808047511838</v>
      </c>
    </row>
    <row r="202" spans="3:52" x14ac:dyDescent="0.25">
      <c r="C202">
        <v>1.1575623183947129E-3</v>
      </c>
      <c r="D202">
        <v>2.4726631393298057</v>
      </c>
      <c r="E202">
        <f t="shared" ref="E202:E213" si="44">C202*2/SQRT(PI())</f>
        <v>1.3061692046913767E-3</v>
      </c>
      <c r="F202">
        <v>1.345527623708449E-3</v>
      </c>
      <c r="G202">
        <v>2.1975308641975309</v>
      </c>
      <c r="H202">
        <f t="shared" ref="H202:H215" si="45">F202*4/SQRT(PI())</f>
        <v>3.0365306786882883E-3</v>
      </c>
      <c r="I202">
        <v>1.295852464254485E-2</v>
      </c>
      <c r="J202">
        <v>1.2010582010582012</v>
      </c>
      <c r="K202">
        <f t="shared" ref="K202:K208" si="46">I202*4/SQRT(PI())</f>
        <v>2.9244258485882867E-2</v>
      </c>
      <c r="L202">
        <v>1.345527623708449E-3</v>
      </c>
      <c r="M202">
        <v>1.595</v>
      </c>
      <c r="N202">
        <f t="shared" ref="N202:N215" si="47">L202*4/SQRT(PI())</f>
        <v>3.0365306786882883E-3</v>
      </c>
      <c r="AI202">
        <f t="shared" si="36"/>
        <v>2.5358978618061245E-2</v>
      </c>
      <c r="AJ202">
        <f t="shared" si="37"/>
        <v>2.0762176674557433</v>
      </c>
      <c r="AK202">
        <f t="shared" si="38"/>
        <v>2.5358978618061245E-2</v>
      </c>
      <c r="AL202">
        <f t="shared" si="39"/>
        <v>1.4443253338822561</v>
      </c>
      <c r="AW202">
        <f t="shared" si="40"/>
        <v>9.6691240387863461E-2</v>
      </c>
      <c r="AX202">
        <f t="shared" si="41"/>
        <v>1.9069607923914162</v>
      </c>
      <c r="AY202">
        <f t="shared" si="42"/>
        <v>9.6691240387863461E-2</v>
      </c>
      <c r="AZ202">
        <f t="shared" si="43"/>
        <v>1.5120280839079872</v>
      </c>
    </row>
    <row r="203" spans="3:52" x14ac:dyDescent="0.25">
      <c r="C203">
        <v>3.5923269074732175E-3</v>
      </c>
      <c r="D203">
        <v>2.4162257495590831</v>
      </c>
      <c r="E203">
        <f t="shared" si="44"/>
        <v>4.0535068437894282E-3</v>
      </c>
      <c r="F203">
        <v>5.0099091401717153E-3</v>
      </c>
      <c r="G203">
        <v>2.165</v>
      </c>
      <c r="H203">
        <f t="shared" si="45"/>
        <v>1.1306154205622311E-2</v>
      </c>
      <c r="I203">
        <v>0.10484606114861872</v>
      </c>
      <c r="J203">
        <v>1.2504409171075834</v>
      </c>
      <c r="K203">
        <f t="shared" si="46"/>
        <v>0.23661222230424717</v>
      </c>
      <c r="L203">
        <v>5.0099091401717153E-3</v>
      </c>
      <c r="M203">
        <v>1.595</v>
      </c>
      <c r="N203">
        <f t="shared" si="47"/>
        <v>1.1306154205622311E-2</v>
      </c>
      <c r="AI203">
        <f t="shared" si="36"/>
        <v>5.2547831830448088E-2</v>
      </c>
      <c r="AJ203">
        <f t="shared" si="37"/>
        <v>1.9746635424171473</v>
      </c>
      <c r="AK203">
        <f t="shared" si="38"/>
        <v>5.2547831830448088E-2</v>
      </c>
      <c r="AL203">
        <f t="shared" si="39"/>
        <v>1.4104739588693909</v>
      </c>
      <c r="AW203">
        <f t="shared" si="40"/>
        <v>0.1696614507446832</v>
      </c>
      <c r="AX203">
        <f t="shared" si="41"/>
        <v>1.8392580423656855</v>
      </c>
      <c r="AY203">
        <f t="shared" si="42"/>
        <v>0.1696614507446832</v>
      </c>
      <c r="AZ203">
        <f t="shared" si="43"/>
        <v>1.4781767088951216</v>
      </c>
    </row>
    <row r="204" spans="3:52" x14ac:dyDescent="0.25">
      <c r="C204">
        <v>1.2554459941484396E-2</v>
      </c>
      <c r="D204">
        <v>2.2857142857142856</v>
      </c>
      <c r="E204">
        <f t="shared" si="44"/>
        <v>1.4166191052106142E-2</v>
      </c>
      <c r="F204">
        <v>1.1236904826653323E-2</v>
      </c>
      <c r="G204">
        <v>2.1093474426807761</v>
      </c>
      <c r="H204">
        <f t="shared" si="45"/>
        <v>2.5358978618061245E-2</v>
      </c>
      <c r="I204">
        <v>0.53164925103728866</v>
      </c>
      <c r="J204">
        <v>1.4074074074074072</v>
      </c>
      <c r="K204">
        <f t="shared" si="46"/>
        <v>1.1998038781448177</v>
      </c>
      <c r="L204">
        <v>1.1236904826653323E-2</v>
      </c>
      <c r="M204">
        <v>1.59</v>
      </c>
      <c r="N204">
        <f t="shared" si="47"/>
        <v>2.5358978618061245E-2</v>
      </c>
      <c r="AI204">
        <f t="shared" si="36"/>
        <v>9.6691240387863461E-2</v>
      </c>
      <c r="AJ204">
        <f t="shared" si="37"/>
        <v>1.8618256257075958</v>
      </c>
      <c r="AK204">
        <f t="shared" si="38"/>
        <v>9.6691240387863461E-2</v>
      </c>
      <c r="AL204">
        <f t="shared" si="39"/>
        <v>1.3766225838565254</v>
      </c>
      <c r="AW204">
        <f t="shared" si="40"/>
        <v>0.26435559546062132</v>
      </c>
      <c r="AX204">
        <f t="shared" si="41"/>
        <v>1.7715552923399549</v>
      </c>
      <c r="AY204">
        <f t="shared" si="42"/>
        <v>0.26435559546062132</v>
      </c>
      <c r="AZ204">
        <f t="shared" si="43"/>
        <v>1.4443253338822561</v>
      </c>
    </row>
    <row r="205" spans="3:52" x14ac:dyDescent="0.25">
      <c r="C205">
        <v>3.2991533785558011E-2</v>
      </c>
      <c r="D205">
        <v>2.0899470899470902</v>
      </c>
      <c r="E205">
        <f t="shared" si="44"/>
        <v>3.7226959414151412E-2</v>
      </c>
      <c r="F205">
        <v>2.328465172115329E-2</v>
      </c>
      <c r="G205">
        <v>2.0405643738977073</v>
      </c>
      <c r="H205">
        <f t="shared" si="45"/>
        <v>5.2547831830448088E-2</v>
      </c>
      <c r="I205">
        <v>1.5363927478867607</v>
      </c>
      <c r="J205">
        <v>1.7372134038800706</v>
      </c>
      <c r="K205">
        <f t="shared" si="46"/>
        <v>3.4672671383840981</v>
      </c>
      <c r="L205">
        <v>2.328465172115329E-2</v>
      </c>
      <c r="M205">
        <v>1.58</v>
      </c>
      <c r="N205">
        <f t="shared" si="47"/>
        <v>5.2547831830448088E-2</v>
      </c>
      <c r="AI205">
        <f t="shared" si="36"/>
        <v>0.1696614507446832</v>
      </c>
      <c r="AJ205">
        <f t="shared" si="37"/>
        <v>1.7489877089980448</v>
      </c>
      <c r="AK205">
        <f t="shared" si="38"/>
        <v>0.1696614507446832</v>
      </c>
      <c r="AL205">
        <f t="shared" si="39"/>
        <v>1.3540550005146152</v>
      </c>
      <c r="AW205">
        <f t="shared" si="40"/>
        <v>0.40223114532988807</v>
      </c>
      <c r="AX205">
        <f t="shared" si="41"/>
        <v>1.7151363339851793</v>
      </c>
      <c r="AY205">
        <f t="shared" si="42"/>
        <v>0.40223114532988807</v>
      </c>
      <c r="AZ205">
        <f t="shared" si="43"/>
        <v>1.421757750540346</v>
      </c>
    </row>
    <row r="206" spans="3:52" x14ac:dyDescent="0.25">
      <c r="C206">
        <v>5.6530185225701961E-2</v>
      </c>
      <c r="D206">
        <v>1.9594356261022932</v>
      </c>
      <c r="E206">
        <f t="shared" si="44"/>
        <v>6.3787483320732641E-2</v>
      </c>
      <c r="F206">
        <v>4.2845190343574882E-2</v>
      </c>
      <c r="G206">
        <v>1.9470899470899474</v>
      </c>
      <c r="H206">
        <f t="shared" si="45"/>
        <v>9.6691240387863461E-2</v>
      </c>
      <c r="I206">
        <v>2.7606823329251586</v>
      </c>
      <c r="J206">
        <v>2.1164021164021163</v>
      </c>
      <c r="K206">
        <f t="shared" si="46"/>
        <v>6.2301928628827747</v>
      </c>
      <c r="L206">
        <v>4.2845190343574882E-2</v>
      </c>
      <c r="M206">
        <v>1.57</v>
      </c>
      <c r="N206">
        <f t="shared" si="47"/>
        <v>9.6691240387863461E-2</v>
      </c>
      <c r="AI206">
        <f t="shared" si="36"/>
        <v>0.26435559546062132</v>
      </c>
      <c r="AJ206">
        <f t="shared" si="37"/>
        <v>1.6587173756304037</v>
      </c>
      <c r="AK206">
        <f t="shared" si="38"/>
        <v>0.26435559546062132</v>
      </c>
      <c r="AL206">
        <f t="shared" si="39"/>
        <v>1.3089198338307946</v>
      </c>
      <c r="AW206">
        <f t="shared" si="40"/>
        <v>0.5790115373344783</v>
      </c>
      <c r="AX206">
        <f t="shared" si="41"/>
        <v>1.6925687506432689</v>
      </c>
      <c r="AY206">
        <f t="shared" si="42"/>
        <v>0.67702750025730762</v>
      </c>
      <c r="AZ206">
        <f t="shared" si="43"/>
        <v>1.421757750540346</v>
      </c>
    </row>
    <row r="207" spans="3:52" x14ac:dyDescent="0.25">
      <c r="C207">
        <v>0.11082245991844686</v>
      </c>
      <c r="D207">
        <v>1.7830687830687832</v>
      </c>
      <c r="E207">
        <f t="shared" si="44"/>
        <v>0.12504975501825291</v>
      </c>
      <c r="F207">
        <v>7.5179272930657556E-2</v>
      </c>
      <c r="G207">
        <v>1.8483245149911816</v>
      </c>
      <c r="H207">
        <f t="shared" si="45"/>
        <v>0.1696614507446832</v>
      </c>
      <c r="I207">
        <v>3.7596922011897709</v>
      </c>
      <c r="J207">
        <v>2.4091710758377425</v>
      </c>
      <c r="K207">
        <f t="shared" si="46"/>
        <v>8.4847167090280173</v>
      </c>
      <c r="L207">
        <v>7.5179272930657556E-2</v>
      </c>
      <c r="M207">
        <v>1.56</v>
      </c>
      <c r="N207">
        <f t="shared" si="47"/>
        <v>0.1696614507446832</v>
      </c>
      <c r="AI207">
        <f t="shared" si="36"/>
        <v>0.40223114532988807</v>
      </c>
      <c r="AJ207">
        <f t="shared" si="37"/>
        <v>1.5910146256046727</v>
      </c>
      <c r="AK207">
        <f t="shared" si="38"/>
        <v>0.40223114532988807</v>
      </c>
      <c r="AL207">
        <f t="shared" si="39"/>
        <v>1.2863522504888842</v>
      </c>
      <c r="AW207">
        <f t="shared" si="40"/>
        <v>1.241217083805064</v>
      </c>
      <c r="AX207">
        <f t="shared" si="41"/>
        <v>1.6812849589723138</v>
      </c>
      <c r="AY207">
        <f t="shared" si="42"/>
        <v>1.241217083805064</v>
      </c>
      <c r="AZ207">
        <f t="shared" si="43"/>
        <v>1.4781767088951216</v>
      </c>
    </row>
    <row r="208" spans="3:52" x14ac:dyDescent="0.25">
      <c r="C208">
        <v>0.30299060457423937</v>
      </c>
      <c r="D208">
        <v>1.5784832451499122</v>
      </c>
      <c r="E208">
        <f t="shared" si="44"/>
        <v>0.34188828602724608</v>
      </c>
      <c r="F208">
        <v>0.11713952329564974</v>
      </c>
      <c r="G208">
        <v>1.742504409171076</v>
      </c>
      <c r="H208">
        <f t="shared" si="45"/>
        <v>0.26435559546062132</v>
      </c>
      <c r="I208">
        <v>4.9605590457309576</v>
      </c>
      <c r="J208">
        <v>2.7760141093474431</v>
      </c>
      <c r="K208">
        <f t="shared" si="46"/>
        <v>11.194782968700018</v>
      </c>
      <c r="L208">
        <v>0.11713952329564974</v>
      </c>
      <c r="M208">
        <v>1.5549999999999999</v>
      </c>
      <c r="N208">
        <f t="shared" si="47"/>
        <v>0.26435559546062132</v>
      </c>
      <c r="AI208">
        <f t="shared" si="36"/>
        <v>0.5790115373344783</v>
      </c>
      <c r="AJ208">
        <f t="shared" si="37"/>
        <v>1.5345956672498973</v>
      </c>
      <c r="AK208">
        <f t="shared" si="38"/>
        <v>0.5790115373344783</v>
      </c>
      <c r="AL208">
        <f t="shared" si="39"/>
        <v>1.2750684588179293</v>
      </c>
      <c r="AW208">
        <f t="shared" si="40"/>
        <v>2.777695517608568</v>
      </c>
      <c r="AX208">
        <f t="shared" si="41"/>
        <v>1.8166904590237756</v>
      </c>
      <c r="AY208">
        <f t="shared" si="42"/>
        <v>2.777695517608568</v>
      </c>
      <c r="AZ208">
        <f t="shared" si="43"/>
        <v>1.6587173756304037</v>
      </c>
    </row>
    <row r="209" spans="1:52" x14ac:dyDescent="0.25">
      <c r="C209">
        <v>0.58930097311554064</v>
      </c>
      <c r="D209">
        <v>1.5502645502645505</v>
      </c>
      <c r="E209">
        <f t="shared" si="44"/>
        <v>0.66495494121268883</v>
      </c>
      <c r="F209">
        <v>0.17823403562352408</v>
      </c>
      <c r="G209">
        <v>1.6560846560846558</v>
      </c>
      <c r="H209">
        <f t="shared" si="45"/>
        <v>0.40223114532988807</v>
      </c>
      <c r="L209">
        <v>0.17823403562352408</v>
      </c>
      <c r="M209">
        <v>1.54</v>
      </c>
      <c r="N209">
        <f t="shared" si="47"/>
        <v>0.40223114532988807</v>
      </c>
      <c r="AI209">
        <f t="shared" si="36"/>
        <v>1.241217083805064</v>
      </c>
      <c r="AJ209">
        <f t="shared" si="37"/>
        <v>1.500744292237032</v>
      </c>
      <c r="AK209">
        <f t="shared" si="38"/>
        <v>0.9027033336764102</v>
      </c>
      <c r="AL209">
        <f t="shared" si="39"/>
        <v>1.2637846671469743</v>
      </c>
      <c r="AW209">
        <f t="shared" si="40"/>
        <v>5.2756319752069105</v>
      </c>
      <c r="AX209">
        <f t="shared" si="41"/>
        <v>2.1213528341395635</v>
      </c>
      <c r="AY209">
        <f t="shared" si="42"/>
        <v>5.2756319752069105</v>
      </c>
      <c r="AZ209">
        <f t="shared" si="43"/>
        <v>1.9520959590752369</v>
      </c>
    </row>
    <row r="210" spans="1:52" x14ac:dyDescent="0.25">
      <c r="C210">
        <v>1.3113379514182093</v>
      </c>
      <c r="D210">
        <v>1.670194003527337</v>
      </c>
      <c r="E210">
        <f t="shared" si="44"/>
        <v>1.4796864254020148</v>
      </c>
      <c r="F210">
        <v>0.25656780726680473</v>
      </c>
      <c r="G210">
        <v>1.5925925925925926</v>
      </c>
      <c r="H210">
        <f t="shared" si="45"/>
        <v>0.5790115373344783</v>
      </c>
      <c r="L210">
        <v>0.25656780726680473</v>
      </c>
      <c r="M210">
        <v>1.53</v>
      </c>
      <c r="N210">
        <f t="shared" si="47"/>
        <v>0.5790115373344783</v>
      </c>
      <c r="AI210">
        <f t="shared" si="36"/>
        <v>2.777695517608568</v>
      </c>
      <c r="AJ210">
        <f t="shared" si="37"/>
        <v>1.6361497922884933</v>
      </c>
      <c r="AK210">
        <f t="shared" si="38"/>
        <v>1.3540550005146152</v>
      </c>
      <c r="AL210">
        <f t="shared" si="39"/>
        <v>1.2750684588179293</v>
      </c>
      <c r="AW210">
        <f t="shared" si="40"/>
        <v>8.0271555744033964</v>
      </c>
      <c r="AX210">
        <f t="shared" si="41"/>
        <v>2.482434167610128</v>
      </c>
      <c r="AY210">
        <f t="shared" si="42"/>
        <v>8.0271555744033964</v>
      </c>
      <c r="AZ210">
        <f t="shared" si="43"/>
        <v>2.313177292545801</v>
      </c>
    </row>
    <row r="211" spans="1:52" x14ac:dyDescent="0.25">
      <c r="C211">
        <v>2.1597109376080574</v>
      </c>
      <c r="D211">
        <v>1.9312169312169316</v>
      </c>
      <c r="E211">
        <f t="shared" si="44"/>
        <v>2.4369728289452484</v>
      </c>
      <c r="F211">
        <v>0.51507169289582355</v>
      </c>
      <c r="G211">
        <v>1.55</v>
      </c>
      <c r="H211">
        <f t="shared" si="45"/>
        <v>1.1623923356485302</v>
      </c>
      <c r="L211">
        <v>0.4</v>
      </c>
      <c r="M211">
        <v>1.52</v>
      </c>
      <c r="N211">
        <f t="shared" si="47"/>
        <v>0.9027033336764102</v>
      </c>
      <c r="AI211">
        <f t="shared" si="36"/>
        <v>5.2756319752069105</v>
      </c>
      <c r="AJ211">
        <f t="shared" si="37"/>
        <v>1.9182445840623714</v>
      </c>
      <c r="AK211">
        <f t="shared" si="38"/>
        <v>2.777695517608568</v>
      </c>
      <c r="AL211">
        <f t="shared" si="39"/>
        <v>1.3540550005146152</v>
      </c>
      <c r="AW211">
        <f t="shared" si="40"/>
        <v>11.283791670955127</v>
      </c>
      <c r="AX211">
        <f t="shared" si="41"/>
        <v>3.0466237511578842</v>
      </c>
      <c r="AY211">
        <f t="shared" si="42"/>
        <v>11.283791670955127</v>
      </c>
      <c r="AZ211">
        <f t="shared" si="43"/>
        <v>2.8209479177387817</v>
      </c>
    </row>
    <row r="212" spans="1:52" x14ac:dyDescent="0.25">
      <c r="C212">
        <v>3.7300350315551936</v>
      </c>
      <c r="D212">
        <v>2.3985890652557318</v>
      </c>
      <c r="E212">
        <f t="shared" si="44"/>
        <v>4.2088938221433336</v>
      </c>
      <c r="F212">
        <v>1.2308342792070741</v>
      </c>
      <c r="G212">
        <v>1.66</v>
      </c>
      <c r="H212">
        <f t="shared" si="45"/>
        <v>2.777695517608568</v>
      </c>
      <c r="L212">
        <v>0.6</v>
      </c>
      <c r="M212">
        <v>1.53</v>
      </c>
      <c r="N212">
        <f t="shared" si="47"/>
        <v>1.3540550005146152</v>
      </c>
      <c r="AI212">
        <f>AI192*4/SQRT(PI())</f>
        <v>8.0271555744033964</v>
      </c>
      <c r="AJ212">
        <f t="shared" si="37"/>
        <v>2.2229069591781601</v>
      </c>
      <c r="AK212">
        <f t="shared" si="38"/>
        <v>5.2756319752069105</v>
      </c>
      <c r="AL212">
        <f t="shared" si="39"/>
        <v>1.5345956672498973</v>
      </c>
      <c r="AW212">
        <f>AW192*4/SQRT(PI())</f>
        <v>0</v>
      </c>
      <c r="AX212">
        <f t="shared" si="41"/>
        <v>0</v>
      </c>
      <c r="AY212">
        <f t="shared" si="42"/>
        <v>0</v>
      </c>
      <c r="AZ212">
        <f t="shared" si="43"/>
        <v>0</v>
      </c>
    </row>
    <row r="213" spans="1:52" x14ac:dyDescent="0.25">
      <c r="C213">
        <v>5</v>
      </c>
      <c r="D213">
        <v>2.7901234567901234</v>
      </c>
      <c r="E213">
        <f t="shared" si="44"/>
        <v>5.6418958354775635</v>
      </c>
      <c r="F213">
        <v>2.3377035526039402</v>
      </c>
      <c r="G213">
        <v>1.99</v>
      </c>
      <c r="H213">
        <f t="shared" si="45"/>
        <v>5.2756319752069105</v>
      </c>
      <c r="L213">
        <v>1.2308342792070741</v>
      </c>
      <c r="M213">
        <v>1.66</v>
      </c>
      <c r="N213">
        <f t="shared" si="47"/>
        <v>2.777695517608568</v>
      </c>
      <c r="AI213">
        <f t="shared" si="36"/>
        <v>11.283791670955127</v>
      </c>
      <c r="AJ213">
        <f t="shared" si="37"/>
        <v>2.6291234593325448</v>
      </c>
      <c r="AK213">
        <f t="shared" si="38"/>
        <v>8.0271555744033964</v>
      </c>
      <c r="AL213">
        <f t="shared" si="39"/>
        <v>1.7489877089980448</v>
      </c>
      <c r="AW213">
        <f t="shared" si="40"/>
        <v>0</v>
      </c>
      <c r="AX213">
        <f t="shared" si="41"/>
        <v>0</v>
      </c>
      <c r="AY213">
        <f t="shared" si="42"/>
        <v>0</v>
      </c>
      <c r="AZ213">
        <f t="shared" si="43"/>
        <v>0</v>
      </c>
    </row>
    <row r="214" spans="1:52" x14ac:dyDescent="0.25">
      <c r="F214">
        <v>3.5569407024172444</v>
      </c>
      <c r="G214">
        <v>2.3580246913580245</v>
      </c>
      <c r="H214">
        <f t="shared" si="45"/>
        <v>8.0271555744033964</v>
      </c>
      <c r="L214">
        <v>2.3377035526039402</v>
      </c>
      <c r="M214">
        <v>1.99</v>
      </c>
      <c r="N214">
        <f t="shared" si="47"/>
        <v>5.2756319752069105</v>
      </c>
      <c r="AI214">
        <f t="shared" si="36"/>
        <v>0</v>
      </c>
      <c r="AJ214">
        <f t="shared" si="37"/>
        <v>0</v>
      </c>
      <c r="AK214">
        <f t="shared" si="38"/>
        <v>0</v>
      </c>
      <c r="AL214">
        <f t="shared" si="39"/>
        <v>0</v>
      </c>
      <c r="AW214">
        <f t="shared" si="40"/>
        <v>0</v>
      </c>
      <c r="AX214">
        <f t="shared" si="41"/>
        <v>0</v>
      </c>
      <c r="AY214">
        <f t="shared" si="42"/>
        <v>0</v>
      </c>
      <c r="AZ214">
        <f t="shared" si="43"/>
        <v>0</v>
      </c>
    </row>
    <row r="215" spans="1:52" x14ac:dyDescent="0.25">
      <c r="F215">
        <v>5</v>
      </c>
      <c r="G215">
        <v>2.8</v>
      </c>
      <c r="H215">
        <f t="shared" si="45"/>
        <v>11.283791670955127</v>
      </c>
      <c r="L215">
        <v>3.5569407024172444</v>
      </c>
      <c r="M215">
        <v>2.3580246913580245</v>
      </c>
      <c r="N215">
        <f t="shared" si="47"/>
        <v>8.0271555744033964</v>
      </c>
      <c r="AI215">
        <f t="shared" si="36"/>
        <v>0</v>
      </c>
      <c r="AJ215">
        <f t="shared" si="37"/>
        <v>0</v>
      </c>
      <c r="AK215">
        <f t="shared" si="38"/>
        <v>0</v>
      </c>
      <c r="AL215">
        <f t="shared" si="39"/>
        <v>0</v>
      </c>
      <c r="AW215">
        <f t="shared" si="40"/>
        <v>0</v>
      </c>
      <c r="AX215">
        <f t="shared" si="41"/>
        <v>0</v>
      </c>
      <c r="AY215">
        <f t="shared" si="42"/>
        <v>0</v>
      </c>
      <c r="AZ215">
        <f t="shared" si="43"/>
        <v>0</v>
      </c>
    </row>
    <row r="219" spans="1:52" x14ac:dyDescent="0.25">
      <c r="K219" t="s">
        <v>111</v>
      </c>
      <c r="L219">
        <f>SQRT(8*1.38*6.022*300/PI()/0.028)</f>
        <v>476.16951475105645</v>
      </c>
    </row>
    <row r="220" spans="1:52" x14ac:dyDescent="0.25">
      <c r="I220" t="s">
        <v>27</v>
      </c>
      <c r="J220" t="s">
        <v>28</v>
      </c>
      <c r="K220" t="s">
        <v>105</v>
      </c>
      <c r="L220" t="s">
        <v>106</v>
      </c>
      <c r="O220" t="s">
        <v>110</v>
      </c>
      <c r="P220" t="s">
        <v>109</v>
      </c>
      <c r="R220" t="s">
        <v>113</v>
      </c>
    </row>
    <row r="221" spans="1:52" x14ac:dyDescent="0.25">
      <c r="B221" s="12" t="s">
        <v>98</v>
      </c>
      <c r="I221">
        <v>0.1</v>
      </c>
      <c r="J221">
        <v>60000</v>
      </c>
      <c r="K221">
        <v>1000</v>
      </c>
      <c r="L221">
        <v>1000</v>
      </c>
      <c r="O221">
        <v>600</v>
      </c>
      <c r="P221">
        <v>30</v>
      </c>
      <c r="R221">
        <v>60000</v>
      </c>
      <c r="S221">
        <v>1000</v>
      </c>
      <c r="X221" t="s">
        <v>125</v>
      </c>
    </row>
    <row r="222" spans="1:52" x14ac:dyDescent="0.25">
      <c r="B222" s="12" t="s">
        <v>100</v>
      </c>
      <c r="C222" s="12" t="s">
        <v>11</v>
      </c>
      <c r="D222" s="12" t="s">
        <v>99</v>
      </c>
      <c r="E222" s="12" t="s">
        <v>8</v>
      </c>
      <c r="F222" s="12" t="s">
        <v>102</v>
      </c>
      <c r="G222" s="12" t="s">
        <v>101</v>
      </c>
      <c r="H222" s="12" t="s">
        <v>31</v>
      </c>
      <c r="I222" s="12" t="s">
        <v>95</v>
      </c>
      <c r="J222" s="12" t="s">
        <v>96</v>
      </c>
      <c r="K222" s="12" t="s">
        <v>103</v>
      </c>
      <c r="L222" s="12" t="s">
        <v>104</v>
      </c>
      <c r="M222" s="12" t="s">
        <v>27</v>
      </c>
      <c r="N222" s="12" t="s">
        <v>107</v>
      </c>
      <c r="O222" s="12" t="s">
        <v>108</v>
      </c>
      <c r="Q222" s="12" t="s">
        <v>112</v>
      </c>
      <c r="T222" t="s">
        <v>114</v>
      </c>
      <c r="U222" t="s">
        <v>116</v>
      </c>
      <c r="V222" t="s">
        <v>117</v>
      </c>
      <c r="X222" s="12" t="s">
        <v>73</v>
      </c>
      <c r="Y222" t="s">
        <v>124</v>
      </c>
      <c r="Z222" t="s">
        <v>67</v>
      </c>
    </row>
    <row r="223" spans="1:52" x14ac:dyDescent="0.25">
      <c r="A223">
        <v>0</v>
      </c>
      <c r="B223">
        <v>2000</v>
      </c>
      <c r="C223">
        <v>100</v>
      </c>
      <c r="D223">
        <f>C223*B223</f>
        <v>200000</v>
      </c>
      <c r="E223">
        <f>1/(SQRT(2)*PI()*$J$69*$J$69*D223)*10^30</f>
        <v>8.4938065692276195E+22</v>
      </c>
      <c r="F223">
        <f>E223*1.38*300*10^(-23)</f>
        <v>351.64359196602351</v>
      </c>
      <c r="G223">
        <f>F223/10^10</f>
        <v>3.5164359196602351E-8</v>
      </c>
      <c r="H223">
        <f>E223*$J$68*10^(-20)</f>
        <v>4.5134807408715345E-3</v>
      </c>
      <c r="I223">
        <f>(1+$I$221/2)*F223</f>
        <v>369.2257715643247</v>
      </c>
      <c r="J223">
        <f>(1-$I$221/2)*F223</f>
        <v>334.06141236772231</v>
      </c>
      <c r="K223">
        <f>I223/10^10</f>
        <v>3.6922577156432473E-8</v>
      </c>
      <c r="L223">
        <f>J223/10^10</f>
        <v>3.3406141236772228E-8</v>
      </c>
      <c r="M223">
        <f>I223-J223</f>
        <v>35.164359196602391</v>
      </c>
      <c r="N223">
        <f>J$221*K$221*L$221*E223*10^(-30)</f>
        <v>5096.2839415365715</v>
      </c>
      <c r="O223" s="8">
        <v>50000</v>
      </c>
      <c r="P223">
        <f>O223*P$221/O$221</f>
        <v>2500</v>
      </c>
      <c r="Q223">
        <f>E223^(-1/3)*10^(10)</f>
        <v>227.49186852059827</v>
      </c>
      <c r="R223">
        <f t="shared" ref="R223:R232" si="48">R$221/Q223</f>
        <v>263.74569073692976</v>
      </c>
      <c r="S223">
        <f>S$221/Q223</f>
        <v>4.3957615122821627</v>
      </c>
      <c r="T223">
        <v>0</v>
      </c>
      <c r="U223">
        <v>13.12</v>
      </c>
      <c r="V223">
        <v>14.08</v>
      </c>
      <c r="W223">
        <f>1/U223</f>
        <v>7.621951219512195E-2</v>
      </c>
      <c r="X223" s="12">
        <v>2.2323290531526898</v>
      </c>
      <c r="Y223">
        <v>3</v>
      </c>
      <c r="Z223">
        <f>1/C223</f>
        <v>0.01</v>
      </c>
    </row>
    <row r="224" spans="1:52" x14ac:dyDescent="0.25">
      <c r="A224">
        <v>1</v>
      </c>
      <c r="B224">
        <v>2000</v>
      </c>
      <c r="C224">
        <v>65</v>
      </c>
      <c r="D224">
        <f t="shared" ref="D224:D231" si="49">C224*B224</f>
        <v>130000</v>
      </c>
      <c r="E224">
        <f t="shared" ref="E224:E232" si="50">1/(SQRT(2)*PI()*$J$69*$J$69*D224)*10^30</f>
        <v>1.3067394721888644E+23</v>
      </c>
      <c r="F224">
        <f t="shared" ref="F224:F232" si="51">E224*1.38*300*10^(-23)</f>
        <v>540.99014148618994</v>
      </c>
      <c r="G224">
        <f t="shared" ref="G224:G232" si="52">F224/10^10</f>
        <v>5.4099014148618996E-8</v>
      </c>
      <c r="H224">
        <f t="shared" ref="H224:H232" si="53">E224*$J$68*10^(-20)</f>
        <v>6.9438165244177438E-3</v>
      </c>
      <c r="I224">
        <f t="shared" ref="I224:I232" si="54">(1+$I$221/2)*F224</f>
        <v>568.03964856049947</v>
      </c>
      <c r="J224">
        <f t="shared" ref="J224:J232" si="55">(1-$I$221/2)*F224</f>
        <v>513.94063441188041</v>
      </c>
      <c r="K224">
        <f t="shared" ref="K224:L232" si="56">I224/10^10</f>
        <v>5.6803964856049949E-8</v>
      </c>
      <c r="L224">
        <f t="shared" si="56"/>
        <v>5.1394063441188043E-8</v>
      </c>
      <c r="M224">
        <f t="shared" ref="M224:M232" si="57">I224-J224</f>
        <v>54.099014148619062</v>
      </c>
      <c r="N224">
        <f t="shared" ref="N224:N232" si="58">J$221*K$221*L$221*E224*10^(-30)</f>
        <v>7840.4368331331852</v>
      </c>
      <c r="O224" s="8">
        <v>50000</v>
      </c>
      <c r="P224">
        <f t="shared" ref="P224:P232" si="59">O224*P$221/O$221</f>
        <v>2500</v>
      </c>
      <c r="Q224">
        <f t="shared" ref="Q224:Q232" si="60">E224^(-1/3)*10^(10)</f>
        <v>197.06235265961354</v>
      </c>
      <c r="R224">
        <f t="shared" si="48"/>
        <v>304.47215914263541</v>
      </c>
      <c r="S224">
        <f t="shared" ref="S224:S232" si="61">S$221/Q224</f>
        <v>5.0745359857105905</v>
      </c>
      <c r="T224">
        <v>1</v>
      </c>
      <c r="U224">
        <v>6.1</v>
      </c>
      <c r="V224">
        <v>5.48</v>
      </c>
      <c r="W224">
        <f t="shared" ref="W224:W232" si="62">1/U224</f>
        <v>0.16393442622950821</v>
      </c>
      <c r="X224" s="12">
        <v>2.26959938794033</v>
      </c>
      <c r="Y224">
        <v>3</v>
      </c>
      <c r="Z224">
        <f t="shared" ref="Z224:Z232" si="63">1/C224</f>
        <v>1.5384615384615385E-2</v>
      </c>
    </row>
    <row r="225" spans="1:91" x14ac:dyDescent="0.25">
      <c r="A225">
        <v>2</v>
      </c>
      <c r="B225">
        <v>2000</v>
      </c>
      <c r="C225">
        <v>40</v>
      </c>
      <c r="D225">
        <f t="shared" si="49"/>
        <v>80000</v>
      </c>
      <c r="E225">
        <f t="shared" si="50"/>
        <v>2.1234516423069049E+23</v>
      </c>
      <c r="F225">
        <f t="shared" si="51"/>
        <v>879.10897991505874</v>
      </c>
      <c r="G225">
        <f t="shared" si="52"/>
        <v>8.7910897991505874E-8</v>
      </c>
      <c r="H225">
        <f t="shared" si="53"/>
        <v>1.1283701852178836E-2</v>
      </c>
      <c r="I225">
        <f t="shared" si="54"/>
        <v>923.06442891081167</v>
      </c>
      <c r="J225">
        <f t="shared" si="55"/>
        <v>835.15353091930581</v>
      </c>
      <c r="K225">
        <f t="shared" si="56"/>
        <v>9.230644289108117E-8</v>
      </c>
      <c r="L225">
        <f t="shared" si="56"/>
        <v>8.3515353091930577E-8</v>
      </c>
      <c r="M225">
        <f t="shared" si="57"/>
        <v>87.910897991505863</v>
      </c>
      <c r="N225">
        <f t="shared" si="58"/>
        <v>12740.709853841428</v>
      </c>
      <c r="O225" s="8">
        <v>25000</v>
      </c>
      <c r="P225">
        <f t="shared" si="59"/>
        <v>1250</v>
      </c>
      <c r="Q225">
        <f t="shared" si="60"/>
        <v>167.61744186288803</v>
      </c>
      <c r="R225">
        <f t="shared" si="48"/>
        <v>357.95797461865766</v>
      </c>
      <c r="S225">
        <f t="shared" si="61"/>
        <v>5.9659662436442948</v>
      </c>
      <c r="T225">
        <v>2</v>
      </c>
      <c r="U225">
        <v>2.87</v>
      </c>
      <c r="V225">
        <v>2.04</v>
      </c>
      <c r="W225">
        <f t="shared" si="62"/>
        <v>0.34843205574912889</v>
      </c>
      <c r="X225" s="12">
        <v>2.2309291251604626</v>
      </c>
      <c r="Y225">
        <v>3</v>
      </c>
      <c r="Z225">
        <f t="shared" si="63"/>
        <v>2.5000000000000001E-2</v>
      </c>
    </row>
    <row r="226" spans="1:91" x14ac:dyDescent="0.25">
      <c r="A226">
        <v>3</v>
      </c>
      <c r="B226">
        <v>2000</v>
      </c>
      <c r="C226">
        <v>25</v>
      </c>
      <c r="D226">
        <f t="shared" si="49"/>
        <v>50000</v>
      </c>
      <c r="E226">
        <f t="shared" si="50"/>
        <v>3.3975226276910478E+23</v>
      </c>
      <c r="F226">
        <f t="shared" si="51"/>
        <v>1406.574367864094</v>
      </c>
      <c r="G226">
        <f t="shared" si="52"/>
        <v>1.406574367864094E-7</v>
      </c>
      <c r="H226">
        <f t="shared" si="53"/>
        <v>1.8053922963486138E-2</v>
      </c>
      <c r="I226">
        <f t="shared" si="54"/>
        <v>1476.9030862572988</v>
      </c>
      <c r="J226">
        <f t="shared" si="55"/>
        <v>1336.2456494708892</v>
      </c>
      <c r="K226">
        <f t="shared" si="56"/>
        <v>1.4769030862572989E-7</v>
      </c>
      <c r="L226">
        <f t="shared" si="56"/>
        <v>1.3362456494708891E-7</v>
      </c>
      <c r="M226">
        <f t="shared" si="57"/>
        <v>140.65743678640956</v>
      </c>
      <c r="N226">
        <f t="shared" si="58"/>
        <v>20385.135766146286</v>
      </c>
      <c r="O226" s="8">
        <v>9000</v>
      </c>
      <c r="P226">
        <f t="shared" si="59"/>
        <v>450</v>
      </c>
      <c r="Q226">
        <f t="shared" si="60"/>
        <v>143.31089691450964</v>
      </c>
      <c r="R226">
        <f t="shared" si="48"/>
        <v>418.67018692788076</v>
      </c>
      <c r="S226">
        <f t="shared" si="61"/>
        <v>6.9778364487980129</v>
      </c>
      <c r="T226">
        <v>3</v>
      </c>
      <c r="U226">
        <v>1.33</v>
      </c>
      <c r="V226">
        <v>0.82</v>
      </c>
      <c r="W226">
        <f t="shared" si="62"/>
        <v>0.75187969924812026</v>
      </c>
      <c r="X226" s="12">
        <v>2.1811486660352144</v>
      </c>
      <c r="Y226">
        <v>3</v>
      </c>
      <c r="Z226">
        <f t="shared" si="63"/>
        <v>0.04</v>
      </c>
    </row>
    <row r="227" spans="1:91" x14ac:dyDescent="0.25">
      <c r="A227">
        <v>4</v>
      </c>
      <c r="B227">
        <v>2000</v>
      </c>
      <c r="C227">
        <v>15</v>
      </c>
      <c r="D227">
        <f t="shared" si="49"/>
        <v>30000</v>
      </c>
      <c r="E227">
        <f t="shared" si="50"/>
        <v>5.6625377128184123E+23</v>
      </c>
      <c r="F227">
        <f t="shared" si="51"/>
        <v>2344.290613106823</v>
      </c>
      <c r="G227">
        <f t="shared" si="52"/>
        <v>2.3442906131068231E-7</v>
      </c>
      <c r="H227">
        <f t="shared" si="53"/>
        <v>3.0089871605810226E-2</v>
      </c>
      <c r="I227">
        <f t="shared" si="54"/>
        <v>2461.5051437621642</v>
      </c>
      <c r="J227">
        <f t="shared" si="55"/>
        <v>2227.0760824514819</v>
      </c>
      <c r="K227">
        <f t="shared" si="56"/>
        <v>2.4615051437621644E-7</v>
      </c>
      <c r="L227">
        <f t="shared" si="56"/>
        <v>2.2270760824514819E-7</v>
      </c>
      <c r="M227">
        <f t="shared" si="57"/>
        <v>234.4290613106823</v>
      </c>
      <c r="N227">
        <f t="shared" si="58"/>
        <v>33975.226276910471</v>
      </c>
      <c r="O227" s="8">
        <v>2728</v>
      </c>
      <c r="P227">
        <f t="shared" si="59"/>
        <v>136.4</v>
      </c>
      <c r="Q227">
        <f t="shared" si="60"/>
        <v>120.87309175138876</v>
      </c>
      <c r="R227">
        <f t="shared" si="48"/>
        <v>496.38839489112877</v>
      </c>
      <c r="S227">
        <f t="shared" si="61"/>
        <v>8.2731399148521465</v>
      </c>
      <c r="T227">
        <v>4</v>
      </c>
      <c r="U227">
        <v>0.59</v>
      </c>
      <c r="V227">
        <v>0.42899999999999999</v>
      </c>
      <c r="W227">
        <f t="shared" si="62"/>
        <v>1.6949152542372883</v>
      </c>
      <c r="X227" s="12">
        <v>2.1752908625576368</v>
      </c>
      <c r="Y227">
        <v>3</v>
      </c>
      <c r="Z227">
        <f t="shared" si="63"/>
        <v>6.6666666666666666E-2</v>
      </c>
      <c r="BD227" t="s">
        <v>18</v>
      </c>
      <c r="BE227">
        <v>5.3138492195283959E-6</v>
      </c>
      <c r="BF227" t="s">
        <v>21</v>
      </c>
      <c r="BG227" t="s">
        <v>65</v>
      </c>
      <c r="BH227">
        <v>1000</v>
      </c>
    </row>
    <row r="228" spans="1:91" x14ac:dyDescent="0.25">
      <c r="A228">
        <v>5</v>
      </c>
      <c r="B228">
        <v>2000</v>
      </c>
      <c r="C228">
        <f>C227/1.5</f>
        <v>10</v>
      </c>
      <c r="D228">
        <f t="shared" si="49"/>
        <v>20000</v>
      </c>
      <c r="E228">
        <f t="shared" si="50"/>
        <v>8.4938065692276195E+23</v>
      </c>
      <c r="F228">
        <f t="shared" si="51"/>
        <v>3516.435919660235</v>
      </c>
      <c r="G228">
        <f t="shared" si="52"/>
        <v>3.5164359196602349E-7</v>
      </c>
      <c r="H228">
        <f t="shared" si="53"/>
        <v>4.5134807408715345E-2</v>
      </c>
      <c r="I228">
        <f t="shared" si="54"/>
        <v>3692.2577156432467</v>
      </c>
      <c r="J228">
        <f t="shared" si="55"/>
        <v>3340.6141236772232</v>
      </c>
      <c r="K228">
        <f t="shared" si="56"/>
        <v>3.6922577156432468E-7</v>
      </c>
      <c r="L228">
        <f t="shared" si="56"/>
        <v>3.3406141236772231E-7</v>
      </c>
      <c r="M228">
        <f t="shared" si="57"/>
        <v>351.64359196602345</v>
      </c>
      <c r="N228">
        <f t="shared" si="58"/>
        <v>50962.839415365714</v>
      </c>
      <c r="O228" s="8">
        <v>880</v>
      </c>
      <c r="P228">
        <f t="shared" si="59"/>
        <v>44</v>
      </c>
      <c r="Q228">
        <f t="shared" si="60"/>
        <v>105.59237166629161</v>
      </c>
      <c r="R228">
        <f t="shared" si="48"/>
        <v>568.22286547006195</v>
      </c>
      <c r="S228">
        <f t="shared" si="61"/>
        <v>9.4703810911676989</v>
      </c>
      <c r="T228">
        <v>5</v>
      </c>
      <c r="U228">
        <v>0.31</v>
      </c>
      <c r="V228">
        <v>0.2</v>
      </c>
      <c r="W228">
        <f t="shared" si="62"/>
        <v>3.2258064516129035</v>
      </c>
      <c r="X228" s="12">
        <v>2.1085721527922954</v>
      </c>
      <c r="Y228">
        <v>4</v>
      </c>
      <c r="Z228">
        <f t="shared" si="63"/>
        <v>0.1</v>
      </c>
      <c r="BD228" t="s">
        <v>19</v>
      </c>
      <c r="BE228">
        <v>3.64</v>
      </c>
      <c r="BF228" t="s">
        <v>20</v>
      </c>
    </row>
    <row r="229" spans="1:91" x14ac:dyDescent="0.25">
      <c r="A229">
        <v>6</v>
      </c>
      <c r="B229">
        <v>2000</v>
      </c>
      <c r="C229">
        <v>8</v>
      </c>
      <c r="D229">
        <f t="shared" si="49"/>
        <v>16000</v>
      </c>
      <c r="E229">
        <f t="shared" si="50"/>
        <v>1.0617258211534523E+24</v>
      </c>
      <c r="F229">
        <f t="shared" si="51"/>
        <v>4395.5448995752922</v>
      </c>
      <c r="G229">
        <f t="shared" si="52"/>
        <v>4.3955448995752921E-7</v>
      </c>
      <c r="H229">
        <f t="shared" si="53"/>
        <v>5.6418509260894173E-2</v>
      </c>
      <c r="I229">
        <f t="shared" si="54"/>
        <v>4615.3221445540566</v>
      </c>
      <c r="J229">
        <f t="shared" si="55"/>
        <v>4175.7676545965278</v>
      </c>
      <c r="K229">
        <f t="shared" si="56"/>
        <v>4.6153221445540569E-7</v>
      </c>
      <c r="L229">
        <f t="shared" si="56"/>
        <v>4.1757676545965278E-7</v>
      </c>
      <c r="M229">
        <f t="shared" si="57"/>
        <v>439.55448995752886</v>
      </c>
      <c r="N229">
        <f t="shared" si="58"/>
        <v>63703.549269207135</v>
      </c>
      <c r="O229" s="8">
        <v>546</v>
      </c>
      <c r="P229">
        <f t="shared" si="59"/>
        <v>27.3</v>
      </c>
      <c r="Q229">
        <f t="shared" si="60"/>
        <v>98.023274648189826</v>
      </c>
      <c r="R229">
        <f t="shared" si="48"/>
        <v>612.09952651901131</v>
      </c>
      <c r="S229">
        <f t="shared" si="61"/>
        <v>10.201658775316856</v>
      </c>
      <c r="T229">
        <v>6</v>
      </c>
      <c r="U229">
        <v>0.22</v>
      </c>
      <c r="V229">
        <v>0.124</v>
      </c>
      <c r="W229">
        <f t="shared" si="62"/>
        <v>4.5454545454545459</v>
      </c>
      <c r="X229" s="12">
        <v>2.0364813867229921</v>
      </c>
      <c r="Y229">
        <v>3</v>
      </c>
      <c r="Z229">
        <f t="shared" si="63"/>
        <v>0.125</v>
      </c>
      <c r="BD229" t="s">
        <v>22</v>
      </c>
      <c r="BE229">
        <v>259.69874999999996</v>
      </c>
    </row>
    <row r="230" spans="1:91" x14ac:dyDescent="0.25">
      <c r="A230">
        <v>7</v>
      </c>
      <c r="B230">
        <v>2000</v>
      </c>
      <c r="C230">
        <v>6</v>
      </c>
      <c r="D230">
        <f t="shared" si="49"/>
        <v>12000</v>
      </c>
      <c r="E230">
        <f t="shared" si="50"/>
        <v>1.4156344282046031E+24</v>
      </c>
      <c r="F230">
        <f t="shared" si="51"/>
        <v>5860.7265327670566</v>
      </c>
      <c r="G230">
        <f t="shared" si="52"/>
        <v>5.8607265327670565E-7</v>
      </c>
      <c r="H230">
        <f t="shared" si="53"/>
        <v>7.5224679014525564E-2</v>
      </c>
      <c r="I230">
        <f t="shared" si="54"/>
        <v>6153.7628594054095</v>
      </c>
      <c r="J230">
        <f t="shared" si="55"/>
        <v>5567.6902061287037</v>
      </c>
      <c r="K230">
        <f t="shared" si="56"/>
        <v>6.1537628594054096E-7</v>
      </c>
      <c r="L230">
        <f t="shared" si="56"/>
        <v>5.5676902061287034E-7</v>
      </c>
      <c r="M230">
        <f t="shared" si="57"/>
        <v>586.07265327670575</v>
      </c>
      <c r="N230">
        <f t="shared" si="58"/>
        <v>84938.065692276185</v>
      </c>
      <c r="O230" s="8">
        <v>292</v>
      </c>
      <c r="P230">
        <f t="shared" si="59"/>
        <v>14.6</v>
      </c>
      <c r="Q230">
        <f t="shared" si="60"/>
        <v>89.060055470032978</v>
      </c>
      <c r="R230">
        <f t="shared" si="48"/>
        <v>673.70270188287566</v>
      </c>
      <c r="S230">
        <f t="shared" si="61"/>
        <v>11.228378364714596</v>
      </c>
      <c r="T230">
        <v>7</v>
      </c>
      <c r="U230">
        <v>0.14000000000000001</v>
      </c>
      <c r="V230">
        <v>7.6999999999999999E-2</v>
      </c>
      <c r="W230">
        <f t="shared" si="62"/>
        <v>7.1428571428571423</v>
      </c>
      <c r="X230" s="12">
        <v>1.8810463503827386</v>
      </c>
      <c r="Y230">
        <v>4</v>
      </c>
      <c r="Z230">
        <f t="shared" si="63"/>
        <v>0.16666666666666666</v>
      </c>
      <c r="BD230" t="s">
        <v>17</v>
      </c>
      <c r="BE230">
        <v>1.9736816446243676E-5</v>
      </c>
    </row>
    <row r="231" spans="1:91" x14ac:dyDescent="0.25">
      <c r="A231">
        <v>8</v>
      </c>
      <c r="B231">
        <v>2000</v>
      </c>
      <c r="C231">
        <v>4</v>
      </c>
      <c r="D231">
        <f t="shared" si="49"/>
        <v>8000</v>
      </c>
      <c r="E231">
        <f t="shared" si="50"/>
        <v>2.1234516423069045E+24</v>
      </c>
      <c r="F231">
        <f t="shared" si="51"/>
        <v>8791.0897991505844</v>
      </c>
      <c r="G231">
        <f t="shared" si="52"/>
        <v>8.7910897991505842E-7</v>
      </c>
      <c r="H231">
        <f t="shared" si="53"/>
        <v>0.11283701852178835</v>
      </c>
      <c r="I231">
        <f t="shared" si="54"/>
        <v>9230.6442891081133</v>
      </c>
      <c r="J231">
        <f t="shared" si="55"/>
        <v>8351.5353091930556</v>
      </c>
      <c r="K231">
        <f t="shared" si="56"/>
        <v>9.2306442891081138E-7</v>
      </c>
      <c r="L231">
        <f t="shared" si="56"/>
        <v>8.3515353091930556E-7</v>
      </c>
      <c r="M231">
        <f t="shared" si="57"/>
        <v>879.10897991505772</v>
      </c>
      <c r="N231">
        <f t="shared" si="58"/>
        <v>127407.09853841427</v>
      </c>
      <c r="O231" s="8">
        <v>123</v>
      </c>
      <c r="P231">
        <f t="shared" si="59"/>
        <v>6.15</v>
      </c>
      <c r="Q231">
        <f t="shared" si="60"/>
        <v>77.80112464695209</v>
      </c>
      <c r="R231">
        <f t="shared" si="48"/>
        <v>771.19707809198792</v>
      </c>
      <c r="S231">
        <f t="shared" si="61"/>
        <v>12.853284634866466</v>
      </c>
      <c r="T231">
        <v>8</v>
      </c>
      <c r="U231">
        <v>7.8E-2</v>
      </c>
      <c r="V231">
        <v>6.3E-2</v>
      </c>
      <c r="W231">
        <f t="shared" si="62"/>
        <v>12.820512820512821</v>
      </c>
      <c r="X231" s="12">
        <v>1.7800968323858928</v>
      </c>
      <c r="Y231">
        <v>2</v>
      </c>
      <c r="Z231">
        <f t="shared" si="63"/>
        <v>0.25</v>
      </c>
      <c r="BD231" t="s">
        <v>23</v>
      </c>
      <c r="BE231">
        <v>300</v>
      </c>
    </row>
    <row r="232" spans="1:91" x14ac:dyDescent="0.25">
      <c r="A232">
        <v>9</v>
      </c>
      <c r="B232">
        <v>2000</v>
      </c>
      <c r="C232">
        <v>2</v>
      </c>
      <c r="D232">
        <f>C232*B232</f>
        <v>4000</v>
      </c>
      <c r="E232">
        <f t="shared" si="50"/>
        <v>4.2469032846138091E+24</v>
      </c>
      <c r="F232">
        <f t="shared" si="51"/>
        <v>17582.179598301169</v>
      </c>
      <c r="G232">
        <f t="shared" si="52"/>
        <v>1.7582179598301168E-6</v>
      </c>
      <c r="H232">
        <f t="shared" si="53"/>
        <v>0.22567403704357669</v>
      </c>
      <c r="I232">
        <f t="shared" si="54"/>
        <v>18461.288578216227</v>
      </c>
      <c r="J232">
        <f t="shared" si="55"/>
        <v>16703.070618386111</v>
      </c>
      <c r="K232">
        <f t="shared" si="56"/>
        <v>1.8461288578216228E-6</v>
      </c>
      <c r="L232">
        <f t="shared" si="56"/>
        <v>1.6703070618386111E-6</v>
      </c>
      <c r="M232">
        <f t="shared" si="57"/>
        <v>1758.2179598301154</v>
      </c>
      <c r="N232">
        <f t="shared" si="58"/>
        <v>254814.19707682854</v>
      </c>
      <c r="O232" s="8">
        <v>26</v>
      </c>
      <c r="P232">
        <f t="shared" si="59"/>
        <v>1.3</v>
      </c>
      <c r="Q232">
        <f t="shared" si="60"/>
        <v>61.750793554440342</v>
      </c>
      <c r="R232">
        <f t="shared" si="48"/>
        <v>971.64743230551653</v>
      </c>
      <c r="S232">
        <f t="shared" si="61"/>
        <v>16.19412387175861</v>
      </c>
      <c r="T232">
        <v>9</v>
      </c>
      <c r="U232">
        <v>2.5000000000000001E-2</v>
      </c>
      <c r="V232">
        <v>1.9800000000000002E-2</v>
      </c>
      <c r="W232">
        <f t="shared" si="62"/>
        <v>40</v>
      </c>
      <c r="X232" s="12">
        <v>1.6891054696597223</v>
      </c>
      <c r="Y232">
        <v>3</v>
      </c>
      <c r="Z232">
        <f t="shared" si="63"/>
        <v>0.5</v>
      </c>
      <c r="AR232" s="36" t="s">
        <v>194</v>
      </c>
      <c r="AS232" s="36"/>
      <c r="AT232" s="36"/>
      <c r="AU232" s="36"/>
      <c r="BD232" t="s">
        <v>25</v>
      </c>
      <c r="BE232">
        <v>2000</v>
      </c>
    </row>
    <row r="234" spans="1:91" x14ac:dyDescent="0.25">
      <c r="AE234" s="103"/>
      <c r="AF234" s="93" t="s">
        <v>182</v>
      </c>
      <c r="AG234" s="94" t="s">
        <v>183</v>
      </c>
      <c r="AR234" s="35" t="s">
        <v>193</v>
      </c>
      <c r="AS234" s="35"/>
      <c r="AT234" s="35"/>
      <c r="AU234" s="35"/>
    </row>
    <row r="235" spans="1:91" ht="12.75" customHeight="1" x14ac:dyDescent="0.25">
      <c r="AA235" t="s">
        <v>184</v>
      </c>
      <c r="AC235" s="17" t="s">
        <v>178</v>
      </c>
      <c r="AD235">
        <f>$J$68*10^(-20)</f>
        <v>5.3138492195283953E-26</v>
      </c>
      <c r="AE235" s="103"/>
      <c r="AF235" s="93"/>
      <c r="AG235" s="94"/>
      <c r="AH235" t="s">
        <v>185</v>
      </c>
      <c r="AJ235" t="s">
        <v>187</v>
      </c>
    </row>
    <row r="236" spans="1:91" x14ac:dyDescent="0.25">
      <c r="B236" s="12" t="s">
        <v>172</v>
      </c>
      <c r="E236" t="s">
        <v>229</v>
      </c>
      <c r="I236">
        <v>0.1</v>
      </c>
      <c r="J236">
        <v>60000</v>
      </c>
      <c r="K236">
        <v>1000</v>
      </c>
      <c r="L236">
        <v>1000</v>
      </c>
      <c r="O236">
        <v>600</v>
      </c>
      <c r="P236">
        <v>30</v>
      </c>
      <c r="R236">
        <v>60000</v>
      </c>
      <c r="S236">
        <v>1000</v>
      </c>
      <c r="AA236" s="95" t="s">
        <v>176</v>
      </c>
      <c r="AB236" s="96"/>
      <c r="AC236" s="17" t="s">
        <v>177</v>
      </c>
      <c r="AD236">
        <v>300</v>
      </c>
      <c r="AE236" s="103"/>
      <c r="AF236" s="93"/>
      <c r="AG236" s="94"/>
      <c r="AH236" s="95" t="s">
        <v>176</v>
      </c>
      <c r="AI236" s="96"/>
      <c r="AJ236" s="95" t="s">
        <v>176</v>
      </c>
      <c r="AK236" s="96"/>
      <c r="AN236" t="s">
        <v>188</v>
      </c>
    </row>
    <row r="237" spans="1:91" x14ac:dyDescent="0.25">
      <c r="B237" s="12" t="s">
        <v>100</v>
      </c>
      <c r="C237" s="12" t="s">
        <v>11</v>
      </c>
      <c r="D237" s="12" t="s">
        <v>99</v>
      </c>
      <c r="E237" s="12" t="s">
        <v>8</v>
      </c>
      <c r="F237" s="12" t="s">
        <v>102</v>
      </c>
      <c r="G237" s="12" t="s">
        <v>101</v>
      </c>
      <c r="H237" s="12" t="s">
        <v>31</v>
      </c>
      <c r="I237" s="12" t="s">
        <v>95</v>
      </c>
      <c r="J237" s="12" t="s">
        <v>96</v>
      </c>
      <c r="K237" s="12" t="s">
        <v>103</v>
      </c>
      <c r="L237" s="12" t="s">
        <v>104</v>
      </c>
      <c r="M237" s="12" t="s">
        <v>27</v>
      </c>
      <c r="N237" s="12" t="s">
        <v>107</v>
      </c>
      <c r="O237" s="12" t="s">
        <v>108</v>
      </c>
      <c r="Q237" s="12" t="s">
        <v>112</v>
      </c>
      <c r="T237" t="s">
        <v>8</v>
      </c>
      <c r="U237" t="s">
        <v>116</v>
      </c>
      <c r="V237" t="s">
        <v>117</v>
      </c>
      <c r="X237" s="12" t="s">
        <v>189</v>
      </c>
      <c r="Z237" t="s">
        <v>67</v>
      </c>
      <c r="AA237" s="23" t="s">
        <v>174</v>
      </c>
      <c r="AB237" s="23" t="s">
        <v>175</v>
      </c>
      <c r="AC237" s="12" t="s">
        <v>173</v>
      </c>
      <c r="AD237" t="s">
        <v>180</v>
      </c>
      <c r="AE237" s="25" t="s">
        <v>181</v>
      </c>
      <c r="AF237" s="26" t="s">
        <v>179</v>
      </c>
      <c r="AG237" s="94"/>
      <c r="AH237" s="23" t="s">
        <v>174</v>
      </c>
      <c r="AI237" s="23" t="s">
        <v>175</v>
      </c>
      <c r="AJ237" s="23" t="s">
        <v>174</v>
      </c>
      <c r="AK237" s="23" t="s">
        <v>175</v>
      </c>
      <c r="AL237" t="s">
        <v>186</v>
      </c>
      <c r="AM237" t="s">
        <v>8</v>
      </c>
      <c r="AN237" s="28" t="s">
        <v>73</v>
      </c>
      <c r="AO237" s="28"/>
      <c r="AP237" s="28"/>
      <c r="AQ237" s="28"/>
      <c r="AR237" s="28"/>
      <c r="AS237" s="29"/>
      <c r="AT237" s="29"/>
      <c r="AU237" s="29"/>
      <c r="AW237" t="s">
        <v>196</v>
      </c>
      <c r="AX237" t="s">
        <v>198</v>
      </c>
      <c r="AY237" t="s">
        <v>197</v>
      </c>
      <c r="AZ237" t="s">
        <v>70</v>
      </c>
      <c r="BD237" s="45">
        <v>43044</v>
      </c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</row>
    <row r="238" spans="1:91" x14ac:dyDescent="0.25">
      <c r="B238">
        <v>2000</v>
      </c>
      <c r="C238" s="12">
        <v>400</v>
      </c>
      <c r="D238">
        <f>C238*B238</f>
        <v>800000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Q238" s="12"/>
      <c r="X238" s="12"/>
      <c r="Z238">
        <f>1/C238</f>
        <v>2.5000000000000001E-3</v>
      </c>
      <c r="AA238" s="31"/>
      <c r="AB238" s="31"/>
      <c r="AC238" s="12"/>
      <c r="AE238" s="12">
        <f>AVERAGE(AN238:AU238)</f>
        <v>2.2932502081347832</v>
      </c>
      <c r="AF238" s="32"/>
      <c r="AG238" s="33"/>
      <c r="AH238" s="31"/>
      <c r="AI238" s="31"/>
      <c r="AJ238" s="31"/>
      <c r="AK238" s="31"/>
      <c r="AN238" s="38">
        <v>2.2932502081347832</v>
      </c>
      <c r="AO238" s="38"/>
      <c r="AP238" s="38"/>
      <c r="AQ238" s="38"/>
      <c r="AR238" s="38"/>
      <c r="AS238" s="14"/>
      <c r="AT238" s="14"/>
      <c r="AU238" s="14"/>
      <c r="BD238">
        <v>1</v>
      </c>
      <c r="BE238">
        <v>2</v>
      </c>
      <c r="BF238">
        <v>3</v>
      </c>
      <c r="BG238">
        <v>4</v>
      </c>
      <c r="BH238">
        <v>5</v>
      </c>
      <c r="BI238">
        <v>6</v>
      </c>
      <c r="BL238">
        <v>1</v>
      </c>
      <c r="BM238">
        <v>2</v>
      </c>
      <c r="BN238">
        <v>3</v>
      </c>
      <c r="BO238">
        <v>4</v>
      </c>
      <c r="BP238">
        <v>5</v>
      </c>
      <c r="BQ238">
        <v>6</v>
      </c>
      <c r="BY238" s="78"/>
      <c r="BZ238" s="78" t="s">
        <v>256</v>
      </c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</row>
    <row r="239" spans="1:91" x14ac:dyDescent="0.25">
      <c r="B239">
        <v>2000</v>
      </c>
      <c r="C239" s="12">
        <v>200</v>
      </c>
      <c r="D239">
        <f>C239*B239</f>
        <v>400000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Q239" s="12"/>
      <c r="X239" s="12"/>
      <c r="Z239">
        <f>1/C239</f>
        <v>5.0000000000000001E-3</v>
      </c>
      <c r="AA239" s="31"/>
      <c r="AB239" s="31"/>
      <c r="AC239" s="12"/>
      <c r="AE239" s="12">
        <f>AVERAGE(AN239:AU239)</f>
        <v>2.7614975026855211</v>
      </c>
      <c r="AF239" s="32"/>
      <c r="AG239" s="33"/>
      <c r="AH239" s="31"/>
      <c r="AI239" s="31"/>
      <c r="AJ239" s="31"/>
      <c r="AK239" s="31"/>
      <c r="AN239" s="1">
        <v>2.7614975026855211</v>
      </c>
      <c r="AO239" s="38"/>
      <c r="AP239" s="38"/>
      <c r="AQ239" s="38"/>
      <c r="AR239" s="38"/>
      <c r="AS239" s="14"/>
      <c r="AT239" s="14"/>
      <c r="AU239" s="14"/>
      <c r="BD239" s="91" t="s">
        <v>199</v>
      </c>
      <c r="BE239" s="91"/>
      <c r="BF239" s="91"/>
      <c r="BG239" s="91"/>
      <c r="BH239" s="91"/>
      <c r="BI239" s="91"/>
      <c r="BJ239" s="46"/>
      <c r="BK239" s="46"/>
      <c r="BL239" s="92" t="s">
        <v>202</v>
      </c>
      <c r="BM239" s="92"/>
      <c r="BN239" s="92"/>
      <c r="BO239" s="92"/>
      <c r="BP239" s="92"/>
      <c r="BQ239" s="92"/>
      <c r="BR239" s="47"/>
      <c r="BS239" s="47"/>
      <c r="BT239" s="40" t="s">
        <v>26</v>
      </c>
      <c r="BU239" s="41" t="s">
        <v>200</v>
      </c>
      <c r="BV239" s="42" t="s">
        <v>181</v>
      </c>
      <c r="BW239" s="43" t="s">
        <v>201</v>
      </c>
      <c r="BY239" s="78"/>
      <c r="BZ239" s="78"/>
      <c r="CA239" s="78" t="s">
        <v>200</v>
      </c>
      <c r="CB239" s="78" t="s">
        <v>252</v>
      </c>
      <c r="CC239" s="78" t="s">
        <v>253</v>
      </c>
      <c r="CD239" s="78"/>
      <c r="CE239" s="78" t="s">
        <v>181</v>
      </c>
      <c r="CF239" s="78" t="s">
        <v>26</v>
      </c>
      <c r="CG239" s="78"/>
      <c r="CH239" s="78"/>
      <c r="CI239" s="78"/>
      <c r="CJ239" s="78"/>
      <c r="CK239" s="78"/>
      <c r="CL239" s="78"/>
      <c r="CM239" s="78"/>
    </row>
    <row r="240" spans="1:91" x14ac:dyDescent="0.25">
      <c r="A240">
        <v>0</v>
      </c>
      <c r="B240">
        <v>2000</v>
      </c>
      <c r="C240">
        <v>100</v>
      </c>
      <c r="D240">
        <f>C240*B240</f>
        <v>200000</v>
      </c>
      <c r="E240">
        <f>1/(SQRT(2)*PI()*$J$69*$J$69*D240)*10^30</f>
        <v>8.4938065692276195E+22</v>
      </c>
      <c r="F240">
        <f>E240*1.38*300*10^(-23)</f>
        <v>351.64359196602351</v>
      </c>
      <c r="G240">
        <f>F240/10^10</f>
        <v>3.5164359196602351E-8</v>
      </c>
      <c r="H240">
        <f>E240*$J$68*10^(-20)</f>
        <v>4.5134807408715345E-3</v>
      </c>
      <c r="I240">
        <f>(1+$I$221/2)*F240</f>
        <v>369.2257715643247</v>
      </c>
      <c r="J240">
        <f>(1-$I$221/2)*F240</f>
        <v>334.06141236772231</v>
      </c>
      <c r="K240">
        <f>I240/10^10</f>
        <v>3.6922577156432473E-8</v>
      </c>
      <c r="L240">
        <f>J240/10^10</f>
        <v>3.3406141236772228E-8</v>
      </c>
      <c r="M240">
        <f>I240-J240</f>
        <v>35.164359196602391</v>
      </c>
      <c r="N240">
        <f>J$221*K$221*L$221*E240*10^(-30)</f>
        <v>5096.2839415365715</v>
      </c>
      <c r="O240" s="8">
        <v>50000</v>
      </c>
      <c r="P240">
        <f>O240*P$221/O$221</f>
        <v>2500</v>
      </c>
      <c r="Q240">
        <f>E240^(-1/3)*10^(10)</f>
        <v>227.49186852059827</v>
      </c>
      <c r="R240">
        <f>R$221/Q240</f>
        <v>263.74569073692976</v>
      </c>
      <c r="S240">
        <f>S$221/Q240</f>
        <v>4.3957615122821627</v>
      </c>
      <c r="T240">
        <v>0</v>
      </c>
      <c r="W240" t="e">
        <f>1/U240</f>
        <v>#DIV/0!</v>
      </c>
      <c r="X240" s="12">
        <f>Q240/SQRT(2*$J$70*$AD$236*PI())/N240</f>
        <v>6.3800894810792173E-5</v>
      </c>
      <c r="Z240">
        <f>1/C240</f>
        <v>0.01</v>
      </c>
      <c r="AC240">
        <f>(AB240-AA240)/2</f>
        <v>0</v>
      </c>
      <c r="AE240" s="12">
        <f>AVERAGE(AN240:AU240)</f>
        <v>2.4661388584762141</v>
      </c>
      <c r="AG240">
        <f>M240*147580</f>
        <v>5189556.1302345805</v>
      </c>
      <c r="AM240">
        <v>0</v>
      </c>
      <c r="AN240" s="24"/>
      <c r="AR240" s="35">
        <v>2.5620801008273224</v>
      </c>
      <c r="AS240" s="35">
        <v>2.3754231533996975</v>
      </c>
      <c r="AT240" s="35">
        <v>2.4609133212016223</v>
      </c>
      <c r="AW240" s="1">
        <v>0.1114919757760187</v>
      </c>
      <c r="AX240">
        <f>(I240-J240)/SQRT(PI()*2*$J$70*$J$72)*AW240/$J$68*10^(-14)*10^10</f>
        <v>0.10545121817531555</v>
      </c>
      <c r="AY240">
        <v>0.10927584800442272</v>
      </c>
      <c r="AZ240">
        <f>AY240*$J$68/((I240-J240)/60/2*B240^2*SQRT(PI()/2/$J$70/$J$72))*2*10^10</f>
        <v>2.2065693112659468</v>
      </c>
      <c r="BA240">
        <f>(I240-J240)/60000</f>
        <v>5.8607265327670648E-4</v>
      </c>
      <c r="BC240">
        <v>0</v>
      </c>
      <c r="BD240" s="12">
        <v>5019269.2414559554</v>
      </c>
      <c r="BE240" s="12">
        <v>5126505.9738816349</v>
      </c>
      <c r="BF240" s="12">
        <v>4877126.9797165906</v>
      </c>
      <c r="BG240" s="12">
        <v>5080980.82800778</v>
      </c>
      <c r="BH240" s="12">
        <v>5340679.355376495</v>
      </c>
      <c r="BL240">
        <v>0.10968154784035787</v>
      </c>
      <c r="BM240">
        <v>0.10407182583063988</v>
      </c>
      <c r="BN240">
        <v>0.10918332120120729</v>
      </c>
      <c r="BO240">
        <v>0.10721537495512384</v>
      </c>
      <c r="BP240">
        <v>0.10463530110963731</v>
      </c>
      <c r="BT240">
        <f>AVERAGE(BD240:BK240)</f>
        <v>5088912.4756876919</v>
      </c>
      <c r="BU240">
        <f>AVERAGE(BL240:BS240)</f>
        <v>0.10695747418739324</v>
      </c>
      <c r="BV240" s="44">
        <f>BU240*$BE$227/(0.5*BT240*($BE$232^2)*SQRT(PI()/2/$BE$229/$BE$231))*2/$BH$227*10^20</f>
        <v>2.4873162236482669</v>
      </c>
      <c r="BW240" s="44">
        <f>BU240*$BE$227/(0.5*(I240-J240)/$J$236*($BE$232^2)*SQRT(PI()/2/$BE$229/$BE$231))*2/$BH$227*10^10</f>
        <v>2.159755192591776</v>
      </c>
      <c r="BY240" s="78"/>
      <c r="BZ240" s="78">
        <v>0</v>
      </c>
      <c r="CA240" s="78">
        <v>0.111425526315789</v>
      </c>
      <c r="CB240" s="78">
        <v>2010022</v>
      </c>
      <c r="CC240" s="78">
        <v>2010022</v>
      </c>
      <c r="CD240" s="78"/>
      <c r="CE240" s="78">
        <f>CA240*$BE$227/(0.5*CF240*($BE$232^2)*SQRT(PI()/2/$BE$229/$BE$231))*2/$BH$227*10^20</f>
        <v>2.611081887137261</v>
      </c>
      <c r="CF240" s="78">
        <v>5050205.4664307386</v>
      </c>
      <c r="CG240" s="78"/>
      <c r="CH240" s="78"/>
      <c r="CI240" s="78"/>
      <c r="CJ240" s="78"/>
      <c r="CK240" s="78"/>
      <c r="CL240" s="78"/>
      <c r="CM240" s="78"/>
    </row>
    <row r="241" spans="1:91" x14ac:dyDescent="0.25">
      <c r="A241">
        <v>1</v>
      </c>
      <c r="B241">
        <v>2000</v>
      </c>
      <c r="C241">
        <v>65</v>
      </c>
      <c r="D241">
        <f t="shared" ref="D241:D248" si="64">C241*B241</f>
        <v>130000</v>
      </c>
      <c r="E241">
        <f t="shared" ref="E241:E258" si="65">1/(SQRT(2)*PI()*$J$69*$J$69*D241)*10^30</f>
        <v>1.3067394721888644E+23</v>
      </c>
      <c r="F241">
        <f t="shared" ref="F241:F258" si="66">E241*1.38*300*10^(-23)</f>
        <v>540.99014148618994</v>
      </c>
      <c r="G241">
        <f t="shared" ref="G241:G258" si="67">F241/10^10</f>
        <v>5.4099014148618996E-8</v>
      </c>
      <c r="H241">
        <f t="shared" ref="H241:H258" si="68">E241*$J$68*10^(-20)</f>
        <v>6.9438165244177438E-3</v>
      </c>
      <c r="I241">
        <f t="shared" ref="I241:I258" si="69">(1+$I$221/2)*F241</f>
        <v>568.03964856049947</v>
      </c>
      <c r="J241">
        <f t="shared" ref="J241:J258" si="70">(1-$I$221/2)*F241</f>
        <v>513.94063441188041</v>
      </c>
      <c r="K241">
        <f t="shared" ref="K241:K258" si="71">I241/10^10</f>
        <v>5.6803964856049949E-8</v>
      </c>
      <c r="L241">
        <f t="shared" ref="L241:L258" si="72">J241/10^10</f>
        <v>5.1394063441188043E-8</v>
      </c>
      <c r="M241">
        <f t="shared" ref="M241:M258" si="73">I241-J241</f>
        <v>54.099014148619062</v>
      </c>
      <c r="N241">
        <f t="shared" ref="N241:N258" si="74">J$221*K$221*L$221*E241*10^(-30)</f>
        <v>7840.4368331331852</v>
      </c>
      <c r="O241" s="8">
        <v>50000</v>
      </c>
      <c r="P241">
        <f t="shared" ref="P241:P249" si="75">O241*P$221/O$221</f>
        <v>2500</v>
      </c>
      <c r="Q241">
        <f t="shared" ref="Q241:Q258" si="76">E241^(-1/3)*10^(10)</f>
        <v>197.06235265961354</v>
      </c>
      <c r="R241">
        <f t="shared" ref="R241:R258" si="77">R$221/Q241</f>
        <v>304.47215914263541</v>
      </c>
      <c r="S241">
        <f t="shared" ref="S241:S258" si="78">S$221/Q241</f>
        <v>5.0745359857105905</v>
      </c>
      <c r="T241">
        <v>1</v>
      </c>
      <c r="W241" t="e">
        <f t="shared" ref="W241:W249" si="79">1/U241</f>
        <v>#DIV/0!</v>
      </c>
      <c r="X241" s="12">
        <f t="shared" ref="X241:X249" si="80">Q241/SQRT(2*$J$70*$AD$236*PI())/N241</f>
        <v>3.5923439526552315E-5</v>
      </c>
      <c r="Z241">
        <f t="shared" ref="Z241:Z258" si="81">1/C241</f>
        <v>1.5384615384615385E-2</v>
      </c>
      <c r="AC241">
        <f>(AB241-AA241)/2</f>
        <v>0</v>
      </c>
      <c r="AE241" s="12">
        <f>AVERAGE(AN241:AU241)</f>
        <v>2.4409790545727641</v>
      </c>
      <c r="AG241">
        <f t="shared" ref="AG241:AG247" si="82">M241*147580</f>
        <v>7983932.5080532013</v>
      </c>
      <c r="AM241">
        <v>1</v>
      </c>
      <c r="AN241" s="24"/>
      <c r="AQ241" s="35">
        <v>2.5645325859921626</v>
      </c>
      <c r="AR241" s="35">
        <v>2.5095928404865151</v>
      </c>
      <c r="AS241" s="35">
        <v>2.3951023395208906</v>
      </c>
      <c r="AT241" s="35">
        <v>2.4496864716053044</v>
      </c>
      <c r="AU241" s="35">
        <v>2.2859810352589491</v>
      </c>
      <c r="BC241">
        <v>1</v>
      </c>
      <c r="BG241">
        <v>8174166.66666668</v>
      </c>
      <c r="BH241">
        <v>7985000.0000000084</v>
      </c>
      <c r="BI241">
        <v>8055000.0000000261</v>
      </c>
      <c r="BJ241">
        <v>8049999.9999999842</v>
      </c>
      <c r="BK241">
        <v>7946666.6666667154</v>
      </c>
      <c r="BO241">
        <v>0.1595125416564194</v>
      </c>
      <c r="BP241">
        <v>0.14621095935314771</v>
      </c>
      <c r="BQ241">
        <v>0.17029172124556333</v>
      </c>
      <c r="BR241">
        <v>0.17186272104152667</v>
      </c>
      <c r="BS241">
        <v>0.18006840259404641</v>
      </c>
      <c r="BT241">
        <f t="shared" ref="BT241:BT253" si="83">AVERAGE(BD241:BK241)</f>
        <v>8042166.6666666837</v>
      </c>
      <c r="BU241">
        <f t="shared" ref="BU241:BU253" si="84">AVERAGE(BL241:BS241)</f>
        <v>0.16558926917814071</v>
      </c>
      <c r="BV241" s="44">
        <f t="shared" ref="BV241:BV251" si="85">BU241*$BE$227/(0.5*BT241*($BE$232^2)*SQRT(PI()/2/$BE$229/$BE$231))*2/$BH$227*10^20</f>
        <v>2.4367106744144293</v>
      </c>
      <c r="BW241" s="44">
        <f t="shared" ref="BW241:BW251" si="86">BU241*$BE$227/(0.5*(I241-J241)/$J$236*($BE$232^2)*SQRT(PI()/2/$BE$229/$BE$231))*2/$BH$227*10^10</f>
        <v>2.1733963552369286</v>
      </c>
      <c r="BY241" s="78"/>
      <c r="BZ241" s="78">
        <v>1</v>
      </c>
      <c r="CA241" s="78">
        <v>0.17024157894736799</v>
      </c>
      <c r="CB241" s="78">
        <v>1219986</v>
      </c>
      <c r="CC241" s="78">
        <v>1269986</v>
      </c>
      <c r="CD241" s="78"/>
      <c r="CE241" s="78">
        <f t="shared" ref="CE241:CE249" si="87">CA241*$BE$227/(0.5*CF241*($BE$232^2)*SQRT(PI()/2/$BE$229/$BE$231))*2/$BH$227*10^20</f>
        <v>2.6019375205123039</v>
      </c>
      <c r="CF241" s="78">
        <v>7743077.7555168793</v>
      </c>
      <c r="CG241" s="78"/>
      <c r="CH241" s="78"/>
      <c r="CI241" s="78"/>
      <c r="CJ241" s="78"/>
      <c r="CK241" s="78"/>
      <c r="CL241" s="78"/>
      <c r="CM241" s="78"/>
    </row>
    <row r="242" spans="1:91" x14ac:dyDescent="0.25">
      <c r="A242">
        <v>2</v>
      </c>
      <c r="B242">
        <v>2000</v>
      </c>
      <c r="C242">
        <v>40</v>
      </c>
      <c r="D242">
        <f t="shared" si="64"/>
        <v>80000</v>
      </c>
      <c r="E242">
        <f t="shared" si="65"/>
        <v>2.1234516423069049E+23</v>
      </c>
      <c r="F242">
        <f t="shared" si="66"/>
        <v>879.10897991505874</v>
      </c>
      <c r="G242">
        <f t="shared" si="67"/>
        <v>8.7910897991505874E-8</v>
      </c>
      <c r="H242">
        <f t="shared" si="68"/>
        <v>1.1283701852178836E-2</v>
      </c>
      <c r="I242">
        <f t="shared" si="69"/>
        <v>923.06442891081167</v>
      </c>
      <c r="J242">
        <f t="shared" si="70"/>
        <v>835.15353091930581</v>
      </c>
      <c r="K242">
        <f t="shared" si="71"/>
        <v>9.230644289108117E-8</v>
      </c>
      <c r="L242">
        <f t="shared" si="72"/>
        <v>8.3515353091930577E-8</v>
      </c>
      <c r="M242">
        <f t="shared" si="73"/>
        <v>87.910897991505863</v>
      </c>
      <c r="N242">
        <f t="shared" si="74"/>
        <v>12740.709853841428</v>
      </c>
      <c r="O242" s="8">
        <v>25000</v>
      </c>
      <c r="P242">
        <f t="shared" si="75"/>
        <v>1250</v>
      </c>
      <c r="Q242">
        <f t="shared" si="76"/>
        <v>167.61744186288803</v>
      </c>
      <c r="R242">
        <f t="shared" si="77"/>
        <v>357.95797461865766</v>
      </c>
      <c r="S242">
        <f t="shared" si="78"/>
        <v>5.9659662436442948</v>
      </c>
      <c r="T242">
        <v>2</v>
      </c>
      <c r="W242" t="e">
        <f t="shared" si="79"/>
        <v>#DIV/0!</v>
      </c>
      <c r="X242" s="12">
        <f t="shared" si="80"/>
        <v>1.8803560489951996E-5</v>
      </c>
      <c r="Z242">
        <f t="shared" si="81"/>
        <v>2.5000000000000001E-2</v>
      </c>
      <c r="AA242">
        <v>-0.26041999999999998</v>
      </c>
      <c r="AB242">
        <v>0.25453999999999999</v>
      </c>
      <c r="AC242">
        <f t="shared" ref="AC242:AC247" si="88">AL242</f>
        <v>0.2576994780669995</v>
      </c>
      <c r="AD242">
        <v>12869841.269841308</v>
      </c>
      <c r="AE242" s="12">
        <f>AVERAGE(AN242:AU242)</f>
        <v>2.3960683850105715</v>
      </c>
      <c r="AF242">
        <v>12869841.269841308</v>
      </c>
      <c r="AG242">
        <f t="shared" si="82"/>
        <v>12973890.325586434</v>
      </c>
      <c r="AL242">
        <v>0.2576994780669995</v>
      </c>
      <c r="AM242">
        <v>2</v>
      </c>
      <c r="AN242" s="12"/>
      <c r="AP242" s="35">
        <v>2.4209453943188652</v>
      </c>
      <c r="AQ242" s="35">
        <v>2.3592691650387203</v>
      </c>
      <c r="AR242" s="35">
        <v>2.4337429566852498</v>
      </c>
      <c r="AS242" s="35">
        <v>2.4674151546625773</v>
      </c>
      <c r="AT242" s="35">
        <v>2.2989692543474449</v>
      </c>
      <c r="AU242" s="35"/>
      <c r="BC242">
        <v>2</v>
      </c>
      <c r="BG242">
        <v>13002499.999999976</v>
      </c>
      <c r="BH242">
        <v>13520000.000000024</v>
      </c>
      <c r="BI242">
        <v>13059166.666666625</v>
      </c>
      <c r="BJ242">
        <v>12806666.666666707</v>
      </c>
      <c r="BK242">
        <v>12770833.333333356</v>
      </c>
      <c r="BO242">
        <v>0.23129184125656735</v>
      </c>
      <c r="BP242">
        <v>0.27240735473254296</v>
      </c>
      <c r="BQ242">
        <v>0.28178184487794206</v>
      </c>
      <c r="BR242">
        <v>0.26148134324350869</v>
      </c>
      <c r="BS242">
        <v>0.26286612758113159</v>
      </c>
      <c r="BT242">
        <f t="shared" si="83"/>
        <v>13031833.33333334</v>
      </c>
      <c r="BU242">
        <f t="shared" si="84"/>
        <v>0.26196570233833849</v>
      </c>
      <c r="BV242" s="44">
        <f t="shared" si="85"/>
        <v>2.3789415076101434</v>
      </c>
      <c r="BW242" s="44">
        <f t="shared" si="86"/>
        <v>2.1159130400364887</v>
      </c>
      <c r="BY242" s="78"/>
      <c r="BZ242" s="78">
        <v>2</v>
      </c>
      <c r="CA242" s="78">
        <v>0.28083596491228102</v>
      </c>
      <c r="CB242" s="78">
        <v>831952.6</v>
      </c>
      <c r="CC242" s="78">
        <v>871952.7</v>
      </c>
      <c r="CD242" s="78"/>
      <c r="CE242" s="78">
        <f t="shared" si="87"/>
        <v>2.6603756442249895</v>
      </c>
      <c r="CF242" s="78">
        <v>12492650.980048073</v>
      </c>
      <c r="CG242" s="78"/>
      <c r="CH242" s="78"/>
      <c r="CI242" s="78"/>
      <c r="CJ242" s="78"/>
      <c r="CK242" s="78"/>
      <c r="CL242" s="78"/>
      <c r="CM242" s="78"/>
    </row>
    <row r="243" spans="1:91" x14ac:dyDescent="0.25">
      <c r="A243">
        <v>3</v>
      </c>
      <c r="B243">
        <v>2000</v>
      </c>
      <c r="C243">
        <v>25</v>
      </c>
      <c r="D243">
        <f t="shared" si="64"/>
        <v>50000</v>
      </c>
      <c r="E243">
        <f t="shared" si="65"/>
        <v>3.3975226276910478E+23</v>
      </c>
      <c r="F243">
        <f t="shared" si="66"/>
        <v>1406.574367864094</v>
      </c>
      <c r="G243">
        <f t="shared" si="67"/>
        <v>1.406574367864094E-7</v>
      </c>
      <c r="H243">
        <f t="shared" si="68"/>
        <v>1.8053922963486138E-2</v>
      </c>
      <c r="I243">
        <f t="shared" si="69"/>
        <v>1476.9030862572988</v>
      </c>
      <c r="J243">
        <f t="shared" si="70"/>
        <v>1336.2456494708892</v>
      </c>
      <c r="K243">
        <f t="shared" si="71"/>
        <v>1.4769030862572989E-7</v>
      </c>
      <c r="L243">
        <f t="shared" si="72"/>
        <v>1.3362456494708891E-7</v>
      </c>
      <c r="M243">
        <f t="shared" si="73"/>
        <v>140.65743678640956</v>
      </c>
      <c r="N243">
        <f t="shared" si="74"/>
        <v>20385.135766146286</v>
      </c>
      <c r="O243" s="8">
        <v>9000</v>
      </c>
      <c r="P243">
        <f t="shared" si="75"/>
        <v>450</v>
      </c>
      <c r="Q243">
        <f t="shared" si="76"/>
        <v>143.31089691450964</v>
      </c>
      <c r="R243">
        <f t="shared" si="77"/>
        <v>418.67018692788076</v>
      </c>
      <c r="S243">
        <f t="shared" si="78"/>
        <v>6.9778364487980129</v>
      </c>
      <c r="T243">
        <v>3</v>
      </c>
      <c r="W243" t="e">
        <f t="shared" si="79"/>
        <v>#DIV/0!</v>
      </c>
      <c r="X243" s="12">
        <f t="shared" si="80"/>
        <v>1.0048011296780727E-5</v>
      </c>
      <c r="Z243">
        <f t="shared" si="81"/>
        <v>0.04</v>
      </c>
      <c r="AA243">
        <v>-0.38279999999999997</v>
      </c>
      <c r="AB243">
        <v>0.38379999999999997</v>
      </c>
      <c r="AC243">
        <f t="shared" si="88"/>
        <v>0.38653750093434491</v>
      </c>
      <c r="AD243">
        <v>20840476.190476209</v>
      </c>
      <c r="AE243" s="12">
        <f>AVERAGE(AN243:AV243)</f>
        <v>2.377959759204729</v>
      </c>
      <c r="AF243">
        <v>20840476.190476209</v>
      </c>
      <c r="AG243">
        <f t="shared" si="82"/>
        <v>20758224.520938322</v>
      </c>
      <c r="AL243">
        <v>0.38653750093434491</v>
      </c>
      <c r="AM243">
        <v>3</v>
      </c>
      <c r="AN243" s="39">
        <v>2.2030369262867433</v>
      </c>
      <c r="AO243" s="39">
        <v>2.0920475479725353</v>
      </c>
      <c r="AP243" s="39">
        <v>2.4381824130209839</v>
      </c>
      <c r="AQ243" s="35">
        <v>2.4369436198581407</v>
      </c>
      <c r="AR243" s="35">
        <v>2.6472235641119641</v>
      </c>
      <c r="AS243" s="35">
        <v>2.514831459688136</v>
      </c>
      <c r="AT243" s="35">
        <v>2.5846987719790606</v>
      </c>
      <c r="AU243" s="35">
        <v>2.3414516844779607</v>
      </c>
      <c r="AV243" s="35">
        <v>2.1432218454470364</v>
      </c>
      <c r="BC243">
        <v>3</v>
      </c>
      <c r="BH243">
        <v>20207499.999999978</v>
      </c>
      <c r="BI243">
        <v>20789166.666666746</v>
      </c>
      <c r="BJ243">
        <v>20991666.666666672</v>
      </c>
      <c r="BK243">
        <v>20777500.000000034</v>
      </c>
      <c r="BP243">
        <v>0.43743901923205913</v>
      </c>
      <c r="BQ243">
        <v>0.38990157465716657</v>
      </c>
      <c r="BR243">
        <v>0.38343103911880189</v>
      </c>
      <c r="BS243">
        <v>0.41000424539488017</v>
      </c>
      <c r="BT243">
        <f t="shared" si="83"/>
        <v>20691458.333333358</v>
      </c>
      <c r="BU243">
        <f t="shared" si="84"/>
        <v>0.40519396960072696</v>
      </c>
      <c r="BV243" s="44">
        <f t="shared" si="85"/>
        <v>2.3174838591868907</v>
      </c>
      <c r="BW243" s="44">
        <f t="shared" si="86"/>
        <v>2.0454853354119127</v>
      </c>
      <c r="BY243" s="78"/>
      <c r="BZ243" s="78">
        <v>3</v>
      </c>
      <c r="CA243" s="78">
        <v>0.40684473684210498</v>
      </c>
      <c r="CB243" s="78">
        <v>601871.80000000005</v>
      </c>
      <c r="CC243" s="78">
        <v>601871.80000000005</v>
      </c>
      <c r="CD243" s="78"/>
      <c r="CE243" s="78">
        <f t="shared" si="87"/>
        <v>2.3611315725205357</v>
      </c>
      <c r="CF243" s="78">
        <v>20391696.523888282</v>
      </c>
      <c r="CG243" s="78"/>
      <c r="CH243" s="78"/>
      <c r="CI243" s="78"/>
      <c r="CJ243" s="78"/>
      <c r="CK243" s="78"/>
      <c r="CL243" s="78"/>
      <c r="CM243" s="78"/>
    </row>
    <row r="244" spans="1:91" x14ac:dyDescent="0.25">
      <c r="A244">
        <v>4</v>
      </c>
      <c r="B244">
        <v>2000</v>
      </c>
      <c r="C244">
        <v>15</v>
      </c>
      <c r="D244">
        <f t="shared" si="64"/>
        <v>30000</v>
      </c>
      <c r="E244">
        <f t="shared" si="65"/>
        <v>5.6625377128184123E+23</v>
      </c>
      <c r="F244">
        <f t="shared" si="66"/>
        <v>2344.290613106823</v>
      </c>
      <c r="G244">
        <f t="shared" si="67"/>
        <v>2.3442906131068231E-7</v>
      </c>
      <c r="H244">
        <f t="shared" si="68"/>
        <v>3.0089871605810226E-2</v>
      </c>
      <c r="I244">
        <f t="shared" si="69"/>
        <v>2461.5051437621642</v>
      </c>
      <c r="J244">
        <f t="shared" si="70"/>
        <v>2227.0760824514819</v>
      </c>
      <c r="K244">
        <f t="shared" si="71"/>
        <v>2.4615051437621644E-7</v>
      </c>
      <c r="L244">
        <f t="shared" si="72"/>
        <v>2.2270760824514819E-7</v>
      </c>
      <c r="M244">
        <f t="shared" si="73"/>
        <v>234.4290613106823</v>
      </c>
      <c r="N244">
        <f t="shared" si="74"/>
        <v>33975.226276910471</v>
      </c>
      <c r="O244" s="8">
        <v>2728</v>
      </c>
      <c r="P244">
        <f t="shared" si="75"/>
        <v>136.4</v>
      </c>
      <c r="Q244">
        <f t="shared" si="76"/>
        <v>120.87309175138876</v>
      </c>
      <c r="R244">
        <f t="shared" si="77"/>
        <v>496.38839489112877</v>
      </c>
      <c r="S244">
        <f t="shared" si="78"/>
        <v>8.2731399148521465</v>
      </c>
      <c r="T244">
        <v>4</v>
      </c>
      <c r="W244" t="e">
        <f t="shared" si="79"/>
        <v>#DIV/0!</v>
      </c>
      <c r="X244" s="12">
        <f t="shared" si="80"/>
        <v>5.0848925694154991E-6</v>
      </c>
      <c r="Z244">
        <f t="shared" si="81"/>
        <v>6.6666666666666666E-2</v>
      </c>
      <c r="AA244">
        <v>-0.66374999999999995</v>
      </c>
      <c r="AB244">
        <v>0.70887500000000003</v>
      </c>
      <c r="AC244">
        <f t="shared" si="88"/>
        <v>0.68199569579643982</v>
      </c>
      <c r="AD244">
        <v>34049206.349206418</v>
      </c>
      <c r="AE244" s="12">
        <f t="shared" ref="AE244:AE256" si="89">AVERAGE(AN244:AU244)</f>
        <v>2.1784815408476255</v>
      </c>
      <c r="AF244">
        <v>34049206.349206418</v>
      </c>
      <c r="AG244">
        <f t="shared" si="82"/>
        <v>34597040.868230492</v>
      </c>
      <c r="AL244">
        <v>0.68199569579643982</v>
      </c>
      <c r="AM244">
        <v>4</v>
      </c>
      <c r="AN244" s="12"/>
      <c r="AO244" s="12"/>
      <c r="AS244" s="35">
        <v>2.3055711077189596</v>
      </c>
      <c r="AT244" s="35">
        <v>2.2093889775599456</v>
      </c>
      <c r="AU244" s="35">
        <v>2.0204845372639704</v>
      </c>
      <c r="BC244">
        <v>4</v>
      </c>
      <c r="BD244" s="24">
        <v>35407499.99999994</v>
      </c>
      <c r="BE244" s="24">
        <v>35236666.666666612</v>
      </c>
      <c r="BF244" s="24">
        <v>36548333.333333522</v>
      </c>
      <c r="BG244" s="24">
        <v>35262499.999999933</v>
      </c>
      <c r="BH244" s="24">
        <v>35366666.666666649</v>
      </c>
      <c r="BL244" s="24">
        <v>0.67548374838232317</v>
      </c>
      <c r="BM244" s="24">
        <v>0.6224246271615288</v>
      </c>
      <c r="BN244" s="24">
        <v>0.59451567974065822</v>
      </c>
      <c r="BO244" s="24">
        <v>0.70092513231019093</v>
      </c>
      <c r="BP244" s="24">
        <v>0.65042900812226234</v>
      </c>
      <c r="BT244">
        <f t="shared" si="83"/>
        <v>35564333.333333328</v>
      </c>
      <c r="BU244">
        <f t="shared" si="84"/>
        <v>0.64875563914339274</v>
      </c>
      <c r="BV244" s="44">
        <f t="shared" si="85"/>
        <v>2.1587945817753575</v>
      </c>
      <c r="BW244" s="44">
        <f t="shared" si="86"/>
        <v>1.9650146532652839</v>
      </c>
      <c r="BY244" s="78"/>
      <c r="BZ244" s="78">
        <v>4</v>
      </c>
      <c r="CA244" s="78">
        <v>0.62058223684210501</v>
      </c>
      <c r="CB244" s="78">
        <v>232673.4</v>
      </c>
      <c r="CC244" s="78">
        <v>240673.4</v>
      </c>
      <c r="CD244" s="78"/>
      <c r="CE244" s="78">
        <f t="shared" si="87"/>
        <v>2.1116829848820835</v>
      </c>
      <c r="CF244" s="78">
        <v>34778869.86151123</v>
      </c>
      <c r="CG244" s="78"/>
      <c r="CH244" s="78"/>
      <c r="CI244" s="78"/>
      <c r="CJ244" s="78"/>
      <c r="CK244" s="78"/>
      <c r="CL244" s="78"/>
      <c r="CM244" s="78"/>
    </row>
    <row r="245" spans="1:91" x14ac:dyDescent="0.25">
      <c r="A245">
        <v>5</v>
      </c>
      <c r="B245">
        <v>2000</v>
      </c>
      <c r="C245">
        <f>C244/1.5</f>
        <v>10</v>
      </c>
      <c r="D245">
        <f t="shared" si="64"/>
        <v>20000</v>
      </c>
      <c r="E245">
        <f t="shared" si="65"/>
        <v>8.4938065692276195E+23</v>
      </c>
      <c r="F245">
        <f t="shared" si="66"/>
        <v>3516.435919660235</v>
      </c>
      <c r="G245">
        <f t="shared" si="67"/>
        <v>3.5164359196602349E-7</v>
      </c>
      <c r="H245">
        <f t="shared" si="68"/>
        <v>4.5134807408715345E-2</v>
      </c>
      <c r="I245">
        <f t="shared" si="69"/>
        <v>3692.2577156432467</v>
      </c>
      <c r="J245">
        <f t="shared" si="70"/>
        <v>3340.6141236772232</v>
      </c>
      <c r="K245">
        <f t="shared" si="71"/>
        <v>3.6922577156432468E-7</v>
      </c>
      <c r="L245">
        <f t="shared" si="72"/>
        <v>3.3406141236772231E-7</v>
      </c>
      <c r="M245">
        <f t="shared" si="73"/>
        <v>351.64359196602345</v>
      </c>
      <c r="N245">
        <f t="shared" si="74"/>
        <v>50962.839415365714</v>
      </c>
      <c r="O245" s="8">
        <v>880</v>
      </c>
      <c r="P245">
        <f t="shared" si="75"/>
        <v>44</v>
      </c>
      <c r="Q245">
        <f t="shared" si="76"/>
        <v>105.59237166629161</v>
      </c>
      <c r="R245">
        <f t="shared" si="77"/>
        <v>568.22286547006195</v>
      </c>
      <c r="S245">
        <f t="shared" si="78"/>
        <v>9.4703810911676989</v>
      </c>
      <c r="T245">
        <v>5</v>
      </c>
      <c r="W245" t="e">
        <f t="shared" si="79"/>
        <v>#DIV/0!</v>
      </c>
      <c r="X245" s="12">
        <f t="shared" si="80"/>
        <v>2.9613752092827662E-6</v>
      </c>
      <c r="Z245">
        <f t="shared" si="81"/>
        <v>0.1</v>
      </c>
      <c r="AA245">
        <v>-0.94040000000000001</v>
      </c>
      <c r="AB245">
        <v>0.93240000000000001</v>
      </c>
      <c r="AC245">
        <f t="shared" si="88"/>
        <v>1.00746840512944</v>
      </c>
      <c r="AD245">
        <v>55891269.84126997</v>
      </c>
      <c r="AE245" s="12">
        <f t="shared" si="89"/>
        <v>2.3364067066913896</v>
      </c>
      <c r="AF245">
        <v>55891269.84126997</v>
      </c>
      <c r="AG245">
        <f t="shared" si="82"/>
        <v>51895561.302345738</v>
      </c>
      <c r="AH245">
        <v>-0.96640000000000004</v>
      </c>
      <c r="AI245">
        <v>0.9224</v>
      </c>
      <c r="AJ245">
        <v>-1.0511999999999999</v>
      </c>
      <c r="AK245">
        <v>1.1876</v>
      </c>
      <c r="AL245">
        <v>1.00746840512944</v>
      </c>
      <c r="AM245">
        <v>5</v>
      </c>
      <c r="AN245" s="12"/>
      <c r="AO245" s="12"/>
      <c r="AP245" s="12"/>
      <c r="AQ245" s="30"/>
      <c r="AR245" s="27"/>
      <c r="AT245" s="35">
        <v>2.4563602828476041</v>
      </c>
      <c r="AU245" s="35">
        <v>2.2164531305351751</v>
      </c>
      <c r="BC245">
        <v>5</v>
      </c>
      <c r="BD245" s="24">
        <v>51475000.000000015</v>
      </c>
      <c r="BE245" s="24">
        <v>51719166.666666649</v>
      </c>
      <c r="BF245" s="24">
        <v>53044166.666666701</v>
      </c>
      <c r="BG245" s="24">
        <v>52562500.000000179</v>
      </c>
      <c r="BH245" s="24">
        <v>51384999.999999851</v>
      </c>
      <c r="BI245">
        <v>49924166.6666665</v>
      </c>
      <c r="BL245">
        <v>0.97901718288423267</v>
      </c>
      <c r="BM245">
        <v>0.93123932080109828</v>
      </c>
      <c r="BN245">
        <v>0.84920208084109239</v>
      </c>
      <c r="BO245">
        <v>0.87131659286030227</v>
      </c>
      <c r="BP245">
        <v>0.95610458086788896</v>
      </c>
      <c r="BQ245">
        <v>1.0465087656266203</v>
      </c>
      <c r="BT245">
        <f t="shared" si="83"/>
        <v>51684999.999999978</v>
      </c>
      <c r="BU245">
        <f t="shared" si="84"/>
        <v>0.93889808731353908</v>
      </c>
      <c r="BV245" s="44">
        <f t="shared" si="85"/>
        <v>2.1498035679858694</v>
      </c>
      <c r="BW245" s="44">
        <f t="shared" si="86"/>
        <v>1.8958843547830475</v>
      </c>
      <c r="BY245" s="78"/>
      <c r="BZ245" s="78">
        <v>5</v>
      </c>
      <c r="CA245" s="78">
        <v>0.97603157894736903</v>
      </c>
      <c r="CB245" s="78">
        <v>125165.4</v>
      </c>
      <c r="CC245" s="78">
        <v>125165.4</v>
      </c>
      <c r="CD245" s="78"/>
      <c r="CE245" s="78">
        <f t="shared" si="87"/>
        <v>2.2544564083317691</v>
      </c>
      <c r="CF245" s="78">
        <v>51235015.574501909</v>
      </c>
      <c r="CG245" s="78"/>
      <c r="CH245" s="78"/>
      <c r="CI245" s="78"/>
      <c r="CJ245" s="78"/>
      <c r="CK245" s="78"/>
      <c r="CL245" s="78"/>
      <c r="CM245" s="78"/>
    </row>
    <row r="246" spans="1:91" x14ac:dyDescent="0.25">
      <c r="A246">
        <v>6</v>
      </c>
      <c r="B246">
        <v>2000</v>
      </c>
      <c r="C246">
        <v>8</v>
      </c>
      <c r="D246">
        <f t="shared" si="64"/>
        <v>16000</v>
      </c>
      <c r="E246">
        <f t="shared" si="65"/>
        <v>1.0617258211534523E+24</v>
      </c>
      <c r="F246">
        <f t="shared" si="66"/>
        <v>4395.5448995752922</v>
      </c>
      <c r="G246">
        <f t="shared" si="67"/>
        <v>4.3955448995752921E-7</v>
      </c>
      <c r="H246">
        <f t="shared" si="68"/>
        <v>5.6418509260894173E-2</v>
      </c>
      <c r="I246">
        <f t="shared" si="69"/>
        <v>4615.3221445540566</v>
      </c>
      <c r="J246">
        <f t="shared" si="70"/>
        <v>4175.7676545965278</v>
      </c>
      <c r="K246">
        <f t="shared" si="71"/>
        <v>4.6153221445540569E-7</v>
      </c>
      <c r="L246">
        <f t="shared" si="72"/>
        <v>4.1757676545965278E-7</v>
      </c>
      <c r="M246">
        <f t="shared" si="73"/>
        <v>439.55448995752886</v>
      </c>
      <c r="N246">
        <f t="shared" si="74"/>
        <v>63703.549269207135</v>
      </c>
      <c r="O246" s="8">
        <v>546</v>
      </c>
      <c r="P246">
        <f t="shared" si="75"/>
        <v>27.3</v>
      </c>
      <c r="Q246">
        <f t="shared" si="76"/>
        <v>98.023274648189826</v>
      </c>
      <c r="R246">
        <f t="shared" si="77"/>
        <v>612.09952651901131</v>
      </c>
      <c r="S246">
        <f t="shared" si="78"/>
        <v>10.201658775316856</v>
      </c>
      <c r="T246">
        <v>6</v>
      </c>
      <c r="W246" t="e">
        <f t="shared" si="79"/>
        <v>#DIV/0!</v>
      </c>
      <c r="X246" s="12">
        <f t="shared" si="80"/>
        <v>2.1992777765671336E-6</v>
      </c>
      <c r="Z246">
        <f t="shared" si="81"/>
        <v>0.125</v>
      </c>
      <c r="AA246">
        <v>-1.0891999999999999</v>
      </c>
      <c r="AB246">
        <v>1.1339999999999999</v>
      </c>
      <c r="AC246">
        <f t="shared" si="88"/>
        <v>1.1594923498005669</v>
      </c>
      <c r="AD246">
        <v>65050000.000000179</v>
      </c>
      <c r="AE246" s="12">
        <f t="shared" si="89"/>
        <v>2.1540314633560755</v>
      </c>
      <c r="AF246">
        <v>65050000.000000179</v>
      </c>
      <c r="AG246">
        <f t="shared" si="82"/>
        <v>64869451.627932109</v>
      </c>
      <c r="AH246">
        <v>-1.274</v>
      </c>
      <c r="AI246">
        <v>1.2444</v>
      </c>
      <c r="AJ246">
        <v>-1.0232000000000001</v>
      </c>
      <c r="AK246">
        <v>0.9536</v>
      </c>
      <c r="AL246">
        <v>1.1594923498005669</v>
      </c>
      <c r="AM246">
        <v>6</v>
      </c>
      <c r="AN246" s="12">
        <v>2.0702073811040718</v>
      </c>
      <c r="AO246" s="12">
        <v>2.2413471238270612</v>
      </c>
      <c r="AP246" s="12">
        <v>1.9061919992681569</v>
      </c>
      <c r="AQ246">
        <v>2.0251444542340034</v>
      </c>
      <c r="AR246">
        <v>1.9403114406575819</v>
      </c>
      <c r="AS246">
        <v>2.4374741083786202</v>
      </c>
      <c r="AT246">
        <v>2.4575437360230352</v>
      </c>
      <c r="BC246">
        <v>6</v>
      </c>
      <c r="BD246">
        <v>67095833.333333127</v>
      </c>
      <c r="BE246">
        <v>64015833.333333381</v>
      </c>
      <c r="BF246">
        <v>66474999.999999873</v>
      </c>
      <c r="BG246">
        <v>66727500.000000082</v>
      </c>
      <c r="BL246">
        <v>1.1533983585286338</v>
      </c>
      <c r="BM246">
        <v>1.1427694274824669</v>
      </c>
      <c r="BN246">
        <v>1.2484022225924993</v>
      </c>
      <c r="BO246">
        <v>1.1698396792004486</v>
      </c>
      <c r="BT246">
        <f t="shared" si="83"/>
        <v>66078541.666666619</v>
      </c>
      <c r="BU246">
        <f t="shared" si="84"/>
        <v>1.1786024219510121</v>
      </c>
      <c r="BV246" s="44">
        <f t="shared" si="85"/>
        <v>2.110822550185242</v>
      </c>
      <c r="BW246" s="44">
        <f t="shared" si="86"/>
        <v>1.9039288054616206</v>
      </c>
      <c r="BY246" s="78"/>
      <c r="BZ246" s="78">
        <v>6</v>
      </c>
      <c r="CA246" s="78">
        <v>1.1793815789473701</v>
      </c>
      <c r="CB246" s="78">
        <v>91535.22</v>
      </c>
      <c r="CC246" s="78">
        <v>91535.22</v>
      </c>
      <c r="CD246" s="78"/>
      <c r="CE246" s="78">
        <f t="shared" si="87"/>
        <v>2.1623293604677385</v>
      </c>
      <c r="CF246" s="78">
        <v>64547190.008920647</v>
      </c>
      <c r="CG246" s="78"/>
      <c r="CH246" s="78"/>
      <c r="CI246" s="78"/>
      <c r="CJ246" s="78"/>
      <c r="CK246" s="78"/>
      <c r="CL246" s="78"/>
      <c r="CM246" s="78"/>
    </row>
    <row r="247" spans="1:91" x14ac:dyDescent="0.25">
      <c r="A247">
        <v>7</v>
      </c>
      <c r="B247">
        <v>2000</v>
      </c>
      <c r="C247">
        <v>6</v>
      </c>
      <c r="D247">
        <f t="shared" si="64"/>
        <v>12000</v>
      </c>
      <c r="E247">
        <f t="shared" si="65"/>
        <v>1.4156344282046031E+24</v>
      </c>
      <c r="F247">
        <f t="shared" si="66"/>
        <v>5860.7265327670566</v>
      </c>
      <c r="G247">
        <f t="shared" si="67"/>
        <v>5.8607265327670565E-7</v>
      </c>
      <c r="H247">
        <f t="shared" si="68"/>
        <v>7.5224679014525564E-2</v>
      </c>
      <c r="I247">
        <f t="shared" si="69"/>
        <v>6153.7628594054095</v>
      </c>
      <c r="J247">
        <f t="shared" si="70"/>
        <v>5567.6902061287037</v>
      </c>
      <c r="K247">
        <f t="shared" si="71"/>
        <v>6.1537628594054096E-7</v>
      </c>
      <c r="L247">
        <f t="shared" si="72"/>
        <v>5.5676902061287034E-7</v>
      </c>
      <c r="M247">
        <f t="shared" si="73"/>
        <v>586.07265327670575</v>
      </c>
      <c r="N247">
        <f t="shared" si="74"/>
        <v>84938.065692276185</v>
      </c>
      <c r="O247" s="8">
        <v>292</v>
      </c>
      <c r="P247">
        <f t="shared" si="75"/>
        <v>14.6</v>
      </c>
      <c r="Q247">
        <f t="shared" si="76"/>
        <v>89.060055470032978</v>
      </c>
      <c r="R247">
        <f t="shared" si="77"/>
        <v>673.70270188287566</v>
      </c>
      <c r="S247">
        <f t="shared" si="78"/>
        <v>11.228378364714596</v>
      </c>
      <c r="T247">
        <v>7</v>
      </c>
      <c r="W247" t="e">
        <f t="shared" si="79"/>
        <v>#DIV/0!</v>
      </c>
      <c r="X247" s="12">
        <f t="shared" si="80"/>
        <v>1.4986323514343289E-6</v>
      </c>
      <c r="Z247">
        <f t="shared" si="81"/>
        <v>0.16666666666666666</v>
      </c>
      <c r="AA247">
        <v>-1.7</v>
      </c>
      <c r="AB247">
        <v>1.507692</v>
      </c>
      <c r="AC247">
        <f t="shared" si="88"/>
        <v>1.5104631245812916</v>
      </c>
      <c r="AD247">
        <v>85589682.539682329</v>
      </c>
      <c r="AE247" s="12">
        <f>AVERAGE(AN247:AU247)</f>
        <v>2.1580266502652958</v>
      </c>
      <c r="AF247">
        <v>85589682.539682329</v>
      </c>
      <c r="AG247">
        <f t="shared" si="82"/>
        <v>86492602.17057623</v>
      </c>
      <c r="AH247">
        <v>-1.6084620000000001</v>
      </c>
      <c r="AI247">
        <v>1.723077</v>
      </c>
      <c r="AJ247">
        <v>-1.2253849999999999</v>
      </c>
      <c r="AK247">
        <v>1.519231</v>
      </c>
      <c r="AL247">
        <v>1.5104631245812916</v>
      </c>
      <c r="AM247">
        <v>7</v>
      </c>
      <c r="AN247" s="12"/>
      <c r="AO247" s="12"/>
      <c r="AP247" s="12"/>
      <c r="AS247" s="35"/>
      <c r="AT247" s="35">
        <v>2.3013494761522604</v>
      </c>
      <c r="AU247" s="35">
        <v>2.0147038243783313</v>
      </c>
      <c r="BC247">
        <v>7</v>
      </c>
      <c r="BD247">
        <v>91916666.666666761</v>
      </c>
      <c r="BE247">
        <v>89971666.666666687</v>
      </c>
      <c r="BF247">
        <v>89795833.333333403</v>
      </c>
      <c r="BG247">
        <v>86815833.333333403</v>
      </c>
      <c r="BH247">
        <v>89029999.999999791</v>
      </c>
      <c r="BL247">
        <v>1.6001439789749661</v>
      </c>
      <c r="BM247">
        <v>1.4331918114241156</v>
      </c>
      <c r="BN247">
        <v>1.3816529424466542</v>
      </c>
      <c r="BO247">
        <v>1.5968193005823086</v>
      </c>
      <c r="BP247">
        <v>1.5566175265656097</v>
      </c>
      <c r="BT247">
        <f t="shared" si="83"/>
        <v>89506000</v>
      </c>
      <c r="BU247">
        <f t="shared" si="84"/>
        <v>1.5136851119987307</v>
      </c>
      <c r="BV247" s="44">
        <f t="shared" si="85"/>
        <v>2.0013739190372246</v>
      </c>
      <c r="BW247" s="44">
        <f t="shared" si="86"/>
        <v>1.8339191190287785</v>
      </c>
      <c r="BY247" s="78"/>
      <c r="BZ247" s="78">
        <v>7</v>
      </c>
      <c r="CA247" s="78">
        <v>1.44675436842105</v>
      </c>
      <c r="CB247" s="78">
        <v>60579.08</v>
      </c>
      <c r="CC247" s="78">
        <v>60579.08</v>
      </c>
      <c r="CD247" s="78"/>
      <c r="CE247" s="78">
        <f t="shared" si="87"/>
        <v>1.968066473102249</v>
      </c>
      <c r="CF247" s="78">
        <v>86996120.267325342</v>
      </c>
      <c r="CG247" s="78"/>
      <c r="CH247" s="78"/>
      <c r="CI247" s="78"/>
      <c r="CJ247" s="78"/>
      <c r="CK247" s="78"/>
      <c r="CL247" s="78"/>
      <c r="CM247" s="78"/>
    </row>
    <row r="248" spans="1:91" x14ac:dyDescent="0.25">
      <c r="A248">
        <v>8</v>
      </c>
      <c r="B248">
        <v>2000</v>
      </c>
      <c r="C248">
        <v>4</v>
      </c>
      <c r="D248">
        <f t="shared" si="64"/>
        <v>8000</v>
      </c>
      <c r="E248">
        <f t="shared" si="65"/>
        <v>2.1234516423069045E+24</v>
      </c>
      <c r="F248">
        <f t="shared" si="66"/>
        <v>8791.0897991505844</v>
      </c>
      <c r="G248">
        <f t="shared" si="67"/>
        <v>8.7910897991505842E-7</v>
      </c>
      <c r="H248">
        <f t="shared" si="68"/>
        <v>0.11283701852178835</v>
      </c>
      <c r="I248">
        <f t="shared" si="69"/>
        <v>9230.6442891081133</v>
      </c>
      <c r="J248">
        <f t="shared" si="70"/>
        <v>8351.5353091930556</v>
      </c>
      <c r="K248">
        <f t="shared" si="71"/>
        <v>9.2306442891081138E-7</v>
      </c>
      <c r="L248">
        <f t="shared" si="72"/>
        <v>8.3515353091930556E-7</v>
      </c>
      <c r="M248">
        <f t="shared" si="73"/>
        <v>879.10897991505772</v>
      </c>
      <c r="N248">
        <f t="shared" si="74"/>
        <v>127407.09853841427</v>
      </c>
      <c r="O248" s="8">
        <v>123</v>
      </c>
      <c r="P248">
        <f t="shared" si="75"/>
        <v>6.15</v>
      </c>
      <c r="Q248">
        <f t="shared" si="76"/>
        <v>77.80112464695209</v>
      </c>
      <c r="R248">
        <f t="shared" si="77"/>
        <v>771.19707809198792</v>
      </c>
      <c r="S248">
        <f t="shared" si="78"/>
        <v>12.853284634866466</v>
      </c>
      <c r="T248">
        <v>8</v>
      </c>
      <c r="U248">
        <v>7.8E-2</v>
      </c>
      <c r="V248">
        <v>6.3E-2</v>
      </c>
      <c r="W248">
        <f t="shared" si="79"/>
        <v>12.820512820512821</v>
      </c>
      <c r="X248" s="12">
        <f t="shared" si="80"/>
        <v>8.7278396402323717E-7</v>
      </c>
      <c r="Z248">
        <f t="shared" si="81"/>
        <v>0.25</v>
      </c>
      <c r="AE248" s="12">
        <f t="shared" si="89"/>
        <v>2.0008442884906845</v>
      </c>
      <c r="AM248">
        <v>8</v>
      </c>
      <c r="AN248">
        <v>1.9328453524590672</v>
      </c>
      <c r="AO248">
        <v>2.0188591235887143</v>
      </c>
      <c r="AP248">
        <v>2.0508283894242716</v>
      </c>
      <c r="BC248">
        <v>8</v>
      </c>
      <c r="BD248">
        <v>132007499.9999997</v>
      </c>
      <c r="BE248">
        <v>136925000.00000024</v>
      </c>
      <c r="BF248">
        <v>132209999.99999951</v>
      </c>
      <c r="BL248">
        <v>2.1560104827063045</v>
      </c>
      <c r="BM248">
        <v>2.3358444512313614</v>
      </c>
      <c r="BN248">
        <v>2.2911249793939339</v>
      </c>
      <c r="BT248">
        <f t="shared" si="83"/>
        <v>133714166.66666649</v>
      </c>
      <c r="BU248">
        <f t="shared" si="84"/>
        <v>2.2609933044438666</v>
      </c>
      <c r="BV248" s="44">
        <f t="shared" si="85"/>
        <v>2.0010903599790799</v>
      </c>
      <c r="BW248" s="44">
        <f t="shared" si="86"/>
        <v>1.8262181551267247</v>
      </c>
      <c r="BY248" s="78"/>
      <c r="BZ248" s="78">
        <v>8</v>
      </c>
      <c r="CA248" s="78">
        <v>1.84338594736842</v>
      </c>
      <c r="CB248" s="78">
        <v>13062</v>
      </c>
      <c r="CC248" s="78">
        <v>15462.01</v>
      </c>
      <c r="CD248" s="78"/>
      <c r="CE248" s="78">
        <f t="shared" si="87"/>
        <v>1.6542983993361682</v>
      </c>
      <c r="CF248" s="78">
        <v>131870383.29360476</v>
      </c>
      <c r="CG248" s="78"/>
      <c r="CH248" s="78"/>
      <c r="CI248" s="78"/>
      <c r="CJ248" s="78"/>
      <c r="CK248" s="78"/>
      <c r="CL248" s="78"/>
      <c r="CM248" s="78"/>
    </row>
    <row r="249" spans="1:91" x14ac:dyDescent="0.25">
      <c r="A249">
        <v>9</v>
      </c>
      <c r="B249">
        <v>2000</v>
      </c>
      <c r="C249">
        <v>2</v>
      </c>
      <c r="D249">
        <f>C249*B249</f>
        <v>4000</v>
      </c>
      <c r="E249">
        <f t="shared" si="65"/>
        <v>4.2469032846138091E+24</v>
      </c>
      <c r="F249">
        <f t="shared" si="66"/>
        <v>17582.179598301169</v>
      </c>
      <c r="G249">
        <f t="shared" si="67"/>
        <v>1.7582179598301168E-6</v>
      </c>
      <c r="H249">
        <f t="shared" si="68"/>
        <v>0.22567403704357669</v>
      </c>
      <c r="I249">
        <f t="shared" si="69"/>
        <v>18461.288578216227</v>
      </c>
      <c r="J249">
        <f t="shared" si="70"/>
        <v>16703.070618386111</v>
      </c>
      <c r="K249">
        <f t="shared" si="71"/>
        <v>1.8461288578216228E-6</v>
      </c>
      <c r="L249">
        <f t="shared" si="72"/>
        <v>1.6703070618386111E-6</v>
      </c>
      <c r="M249">
        <f t="shared" si="73"/>
        <v>1758.2179598301154</v>
      </c>
      <c r="N249">
        <f t="shared" si="74"/>
        <v>254814.19707682854</v>
      </c>
      <c r="O249" s="8">
        <v>26</v>
      </c>
      <c r="P249">
        <f t="shared" si="75"/>
        <v>1.3</v>
      </c>
      <c r="Q249">
        <f t="shared" si="76"/>
        <v>61.750793554440342</v>
      </c>
      <c r="R249">
        <f t="shared" si="77"/>
        <v>971.64743230551653</v>
      </c>
      <c r="S249">
        <f t="shared" si="78"/>
        <v>16.19412387175861</v>
      </c>
      <c r="T249">
        <v>9</v>
      </c>
      <c r="U249">
        <v>2.5000000000000001E-2</v>
      </c>
      <c r="V249">
        <v>1.9800000000000002E-2</v>
      </c>
      <c r="W249">
        <f t="shared" si="79"/>
        <v>40</v>
      </c>
      <c r="X249" s="12">
        <f t="shared" si="80"/>
        <v>3.4636454565786519E-7</v>
      </c>
      <c r="Z249">
        <f t="shared" si="81"/>
        <v>0.5</v>
      </c>
      <c r="AE249" s="12">
        <f t="shared" si="89"/>
        <v>1.8838346791571539</v>
      </c>
      <c r="AM249">
        <v>9</v>
      </c>
      <c r="AN249">
        <v>2.0613544516215034</v>
      </c>
      <c r="AO249">
        <v>1.4362596619657881</v>
      </c>
      <c r="AP249">
        <v>1.8599806243056298</v>
      </c>
      <c r="AQ249">
        <v>2.1777439787356943</v>
      </c>
      <c r="BC249">
        <v>9</v>
      </c>
      <c r="BD249">
        <v>259349166.66666606</v>
      </c>
      <c r="BE249">
        <v>270833333.33333355</v>
      </c>
      <c r="BF249">
        <v>236950000.00000012</v>
      </c>
      <c r="BG249">
        <v>245369166.66666695</v>
      </c>
      <c r="BL249">
        <v>4.5174430552002738</v>
      </c>
      <c r="BM249">
        <v>3.2869283149080504</v>
      </c>
      <c r="BN249">
        <v>3.7240910249623265</v>
      </c>
      <c r="BO249">
        <v>4.515251691108265</v>
      </c>
      <c r="BT249">
        <f t="shared" si="83"/>
        <v>253125416.66666669</v>
      </c>
      <c r="BU249">
        <f t="shared" si="84"/>
        <v>4.010928521544729</v>
      </c>
      <c r="BV249" s="44">
        <f t="shared" si="85"/>
        <v>1.8752277134227022</v>
      </c>
      <c r="BW249" s="44">
        <f t="shared" si="86"/>
        <v>1.6198257797942164</v>
      </c>
      <c r="BY249" s="78"/>
      <c r="BZ249" s="78">
        <v>9</v>
      </c>
      <c r="CA249" s="78">
        <v>4.1981872280701698</v>
      </c>
      <c r="CB249" s="78">
        <v>4304.0010000000002</v>
      </c>
      <c r="CC249" s="78">
        <v>4904.0010000000002</v>
      </c>
      <c r="CD249" s="78"/>
      <c r="CE249" s="78">
        <f t="shared" si="87"/>
        <v>1.9169417129266173</v>
      </c>
      <c r="CF249" s="78">
        <v>259177765.26617917</v>
      </c>
      <c r="CG249" s="78"/>
      <c r="CH249" s="78"/>
      <c r="CI249" s="78"/>
      <c r="CJ249" s="78"/>
      <c r="CK249" s="78"/>
      <c r="CL249" s="78"/>
      <c r="CM249" s="78"/>
    </row>
    <row r="250" spans="1:91" x14ac:dyDescent="0.25">
      <c r="O250" s="8"/>
      <c r="U250" t="s">
        <v>190</v>
      </c>
      <c r="V250" t="s">
        <v>191</v>
      </c>
      <c r="X250" s="12"/>
      <c r="AE250" s="12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</row>
    <row r="251" spans="1:91" x14ac:dyDescent="0.25">
      <c r="A251">
        <v>0</v>
      </c>
      <c r="B251">
        <v>2000</v>
      </c>
      <c r="C251">
        <v>1</v>
      </c>
      <c r="D251">
        <f t="shared" ref="D251:D258" si="90">C251*B251</f>
        <v>2000</v>
      </c>
      <c r="E251">
        <f t="shared" si="65"/>
        <v>8.4938065692276182E+24</v>
      </c>
      <c r="F251">
        <f t="shared" si="66"/>
        <v>35164.359196602338</v>
      </c>
      <c r="G251">
        <f t="shared" si="67"/>
        <v>3.5164359196602337E-6</v>
      </c>
      <c r="H251">
        <f t="shared" si="68"/>
        <v>0.45134807408715338</v>
      </c>
      <c r="I251">
        <f t="shared" si="69"/>
        <v>36922.577156432453</v>
      </c>
      <c r="J251">
        <f t="shared" si="70"/>
        <v>33406.141236772222</v>
      </c>
      <c r="K251">
        <f t="shared" si="71"/>
        <v>3.6922577156432455E-6</v>
      </c>
      <c r="L251">
        <f t="shared" si="72"/>
        <v>3.3406141236772222E-6</v>
      </c>
      <c r="M251">
        <f t="shared" si="73"/>
        <v>3516.4359196602309</v>
      </c>
      <c r="N251">
        <f t="shared" si="74"/>
        <v>509628.39415365708</v>
      </c>
      <c r="O251" s="8"/>
      <c r="Q251">
        <f t="shared" si="76"/>
        <v>49.011637324094821</v>
      </c>
      <c r="R251">
        <f t="shared" si="77"/>
        <v>1224.1990530380249</v>
      </c>
      <c r="S251">
        <f t="shared" si="78"/>
        <v>20.403317550633751</v>
      </c>
      <c r="T251">
        <v>0</v>
      </c>
      <c r="U251">
        <v>769</v>
      </c>
      <c r="V251">
        <v>0.01</v>
      </c>
      <c r="W251">
        <f t="shared" ref="W251:W256" si="91">U251/1200/60</f>
        <v>1.0680555555555556E-2</v>
      </c>
      <c r="X251" s="12">
        <f>Q251/SQRT(2*$J$70*$AD$236*PI())/N251</f>
        <v>1.3745486103544556E-7</v>
      </c>
      <c r="Z251">
        <f t="shared" si="81"/>
        <v>1</v>
      </c>
      <c r="AE251" s="12">
        <f t="shared" si="89"/>
        <v>1.7667240495205276</v>
      </c>
      <c r="AM251">
        <v>0</v>
      </c>
      <c r="AN251" s="37">
        <v>1.6984595691416955</v>
      </c>
      <c r="AO251" s="36">
        <v>1.6660392844282179</v>
      </c>
      <c r="AP251" s="36">
        <v>1.6454277964163264</v>
      </c>
      <c r="AQ251" s="36">
        <v>2.0569695480958701</v>
      </c>
      <c r="AY251">
        <v>7.7300582072028901</v>
      </c>
      <c r="AZ251">
        <f>AY251*$J$68/((I251-J251)/60/2*B251^2*SQRT(PI()/2/$J$70/$J$72))*2*10^10</f>
        <v>1.5609038525716181</v>
      </c>
      <c r="BA251">
        <f>(I251-J251)/60000</f>
        <v>5.8607265327670514E-2</v>
      </c>
      <c r="BC251">
        <v>0</v>
      </c>
      <c r="BD251">
        <v>538607499.99999619</v>
      </c>
      <c r="BE251">
        <v>548981666.66666746</v>
      </c>
      <c r="BF251">
        <v>432263333.33333439</v>
      </c>
      <c r="BG251">
        <v>491751666.66666681</v>
      </c>
      <c r="BL251">
        <v>7.7300582072028901</v>
      </c>
      <c r="BM251">
        <v>7.7285537805965339</v>
      </c>
      <c r="BN251">
        <v>6.0101094657656651</v>
      </c>
      <c r="BO251">
        <v>8.5472982247745133</v>
      </c>
      <c r="BT251">
        <f t="shared" si="83"/>
        <v>502901041.66666621</v>
      </c>
      <c r="BU251">
        <f t="shared" si="84"/>
        <v>7.5040049195849008</v>
      </c>
      <c r="BV251" s="44">
        <f t="shared" si="85"/>
        <v>1.7658565496845167</v>
      </c>
      <c r="BW251" s="44">
        <f t="shared" si="86"/>
        <v>1.5152576959617476</v>
      </c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</row>
    <row r="252" spans="1:91" x14ac:dyDescent="0.25">
      <c r="A252">
        <v>1</v>
      </c>
      <c r="B252">
        <v>2000</v>
      </c>
      <c r="C252">
        <v>0.5</v>
      </c>
      <c r="D252">
        <f t="shared" si="90"/>
        <v>1000</v>
      </c>
      <c r="E252">
        <f t="shared" si="65"/>
        <v>1.6987613138455236E+25</v>
      </c>
      <c r="F252">
        <f t="shared" si="66"/>
        <v>70328.718393204676</v>
      </c>
      <c r="G252">
        <f t="shared" si="67"/>
        <v>7.0328718393204673E-6</v>
      </c>
      <c r="H252">
        <f t="shared" si="68"/>
        <v>0.90269614817430677</v>
      </c>
      <c r="I252">
        <f t="shared" si="69"/>
        <v>73845.154312864906</v>
      </c>
      <c r="J252">
        <f t="shared" si="70"/>
        <v>66812.282473544445</v>
      </c>
      <c r="K252">
        <f t="shared" si="71"/>
        <v>7.3845154312864911E-6</v>
      </c>
      <c r="L252">
        <f t="shared" si="72"/>
        <v>6.6812282473544445E-6</v>
      </c>
      <c r="M252">
        <f t="shared" si="73"/>
        <v>7032.8718393204617</v>
      </c>
      <c r="N252">
        <f t="shared" si="74"/>
        <v>1019256.7883073142</v>
      </c>
      <c r="O252" s="8"/>
      <c r="Q252">
        <f t="shared" si="76"/>
        <v>38.900562323476102</v>
      </c>
      <c r="R252">
        <f t="shared" si="77"/>
        <v>1542.3941561839736</v>
      </c>
      <c r="S252">
        <f t="shared" si="78"/>
        <v>25.706569269732896</v>
      </c>
      <c r="T252">
        <v>1</v>
      </c>
      <c r="U252">
        <v>340</v>
      </c>
      <c r="V252">
        <v>4.7000000000000002E-3</v>
      </c>
      <c r="W252">
        <f t="shared" si="91"/>
        <v>4.7222222222222223E-3</v>
      </c>
      <c r="X252" s="12">
        <f t="shared" ref="X252:X258" si="92">Q252/SQRT(2*$J$70*$AD$236*PI())/N252</f>
        <v>5.4548997751452396E-8</v>
      </c>
      <c r="Z252">
        <f t="shared" si="81"/>
        <v>2</v>
      </c>
      <c r="AE252" s="12">
        <f>AVERAGE(AN252:AU252)</f>
        <v>1.8320447114003291</v>
      </c>
      <c r="AM252">
        <v>1</v>
      </c>
      <c r="AN252" s="36">
        <v>2.1285644287135135</v>
      </c>
      <c r="AO252" s="36">
        <v>1.7389434786421811</v>
      </c>
      <c r="AP252" s="36">
        <v>1.7975433623584036</v>
      </c>
      <c r="AQ252" s="36">
        <v>1.6631275758872186</v>
      </c>
      <c r="BC252">
        <v>1</v>
      </c>
      <c r="BD252">
        <v>1012268333.3333346</v>
      </c>
      <c r="BE252">
        <v>982547499.99999905</v>
      </c>
      <c r="BF252">
        <v>1060364166.6666663</v>
      </c>
      <c r="BG252">
        <v>1049741666.6666685</v>
      </c>
      <c r="BH252">
        <v>1079345000.0000002</v>
      </c>
      <c r="BI252">
        <v>1059009166.6666708</v>
      </c>
      <c r="BJ252">
        <v>990625000.0000006</v>
      </c>
      <c r="BL252">
        <v>18.206967025807018</v>
      </c>
      <c r="BM252">
        <v>14.437572416360501</v>
      </c>
      <c r="BN252">
        <v>16.106069659924689</v>
      </c>
      <c r="BO252">
        <v>14.752416141462678</v>
      </c>
      <c r="BP252">
        <v>18.237047194944299</v>
      </c>
      <c r="BQ252">
        <v>15.842212801789049</v>
      </c>
      <c r="BR252">
        <v>14.99737823122479</v>
      </c>
      <c r="BT252">
        <f t="shared" si="83"/>
        <v>1033414404.7619058</v>
      </c>
      <c r="BU252">
        <f t="shared" si="84"/>
        <v>16.082809067359001</v>
      </c>
      <c r="BV252" s="44">
        <f>BU252*$BE$227/(0.5*BT252*($BE$232^2)*SQRT(PI()/2/$BE$229/$BE$231))*2/$BH$227*10^20</f>
        <v>1.8417566254182243</v>
      </c>
      <c r="BW252" s="44">
        <f>BU252*$BE$227/(0.5*(I252-J252)/$J$236*($BE$232^2)*SQRT(PI()/2/$BE$229/$BE$231))*2/$BH$227*10^10</f>
        <v>1.6237729367951395</v>
      </c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</row>
    <row r="253" spans="1:91" x14ac:dyDescent="0.25">
      <c r="A253">
        <v>2</v>
      </c>
      <c r="B253">
        <v>2000</v>
      </c>
      <c r="C253">
        <v>0.33</v>
      </c>
      <c r="D253">
        <f t="shared" si="90"/>
        <v>660</v>
      </c>
      <c r="E253">
        <f t="shared" si="65"/>
        <v>2.5738807785538239E+25</v>
      </c>
      <c r="F253">
        <f t="shared" si="66"/>
        <v>106558.66423212831</v>
      </c>
      <c r="G253">
        <f t="shared" si="67"/>
        <v>1.0655866423212832E-5</v>
      </c>
      <c r="H253">
        <f t="shared" si="68"/>
        <v>1.3677214366277375</v>
      </c>
      <c r="I253">
        <f t="shared" si="69"/>
        <v>111886.59744373473</v>
      </c>
      <c r="J253">
        <f t="shared" si="70"/>
        <v>101230.7310205219</v>
      </c>
      <c r="K253">
        <f t="shared" si="71"/>
        <v>1.1188659744373474E-5</v>
      </c>
      <c r="L253">
        <f t="shared" si="72"/>
        <v>1.0123073102052189E-5</v>
      </c>
      <c r="M253">
        <f t="shared" si="73"/>
        <v>10655.866423212836</v>
      </c>
      <c r="N253">
        <f t="shared" si="74"/>
        <v>1544328.4671322943</v>
      </c>
      <c r="O253" s="8"/>
      <c r="Q253">
        <f t="shared" si="76"/>
        <v>33.869115710530934</v>
      </c>
      <c r="R253">
        <f t="shared" si="77"/>
        <v>1771.5254367076427</v>
      </c>
      <c r="S253">
        <f t="shared" si="78"/>
        <v>29.525423945127379</v>
      </c>
      <c r="T253">
        <v>2</v>
      </c>
      <c r="U253">
        <v>167</v>
      </c>
      <c r="V253">
        <v>2.3999999999999998E-3</v>
      </c>
      <c r="W253">
        <f t="shared" si="91"/>
        <v>2.3194444444444443E-3</v>
      </c>
      <c r="X253" s="12">
        <f t="shared" si="92"/>
        <v>3.1345751737651094E-8</v>
      </c>
      <c r="Z253">
        <f t="shared" si="81"/>
        <v>3.0303030303030303</v>
      </c>
      <c r="AE253" s="12">
        <f t="shared" si="89"/>
        <v>1.9251241414887386</v>
      </c>
      <c r="AM253">
        <v>2</v>
      </c>
      <c r="AN253" s="36">
        <v>1.9188056359299928</v>
      </c>
      <c r="AO253" s="36">
        <v>1.8024287542769737</v>
      </c>
      <c r="AP253" s="36">
        <v>2.0541380342592497</v>
      </c>
      <c r="AY253">
        <v>25.320466297797601</v>
      </c>
      <c r="AZ253">
        <f>AY253*$J$68/((I253-J253)/60/2*B253^2*SQRT(PI()/2/$J$70/$J$72))*2*10^10</f>
        <v>1.6872484100551546</v>
      </c>
      <c r="BA253">
        <f>(I253-J253)/60000</f>
        <v>0.17759777372021393</v>
      </c>
      <c r="BC253">
        <v>2</v>
      </c>
      <c r="BD253">
        <v>1465976666.6666758</v>
      </c>
      <c r="BE253">
        <v>1456004999.9999974</v>
      </c>
      <c r="BF253">
        <v>1561656666.6666739</v>
      </c>
      <c r="BG253">
        <v>1450215833.3333311</v>
      </c>
      <c r="BH253">
        <v>1450722500.0000012</v>
      </c>
      <c r="BL253">
        <v>24.00348711350032</v>
      </c>
      <c r="BM253">
        <v>26.31565124553676</v>
      </c>
      <c r="BN253">
        <v>25.320466297797601</v>
      </c>
      <c r="BO253">
        <v>22.087466503606834</v>
      </c>
      <c r="BP253">
        <v>25.180776898921927</v>
      </c>
      <c r="BT253">
        <f t="shared" si="83"/>
        <v>1476915333.3333359</v>
      </c>
      <c r="BU253">
        <f t="shared" si="84"/>
        <v>24.581569611872688</v>
      </c>
      <c r="BV253" s="44">
        <f>BU253*$BE$227/(0.5*BT253*($BE$232^2)*SQRT(PI()/2/$BE$229/$BE$231))*2/$BH$227*10^20</f>
        <v>1.9696944299656494</v>
      </c>
      <c r="BW253" s="44">
        <f>BU253*$BE$227/(0.5*(I253-J253)/$J$236*($BE$232^2)*SQRT(PI()/2/$BE$229/$BE$231))*2/$BH$227*10^10</f>
        <v>1.6380114708985369</v>
      </c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</row>
    <row r="254" spans="1:91" x14ac:dyDescent="0.25">
      <c r="A254">
        <v>3</v>
      </c>
      <c r="B254">
        <v>2000</v>
      </c>
      <c r="C254">
        <v>0.25</v>
      </c>
      <c r="D254">
        <f t="shared" si="90"/>
        <v>500</v>
      </c>
      <c r="E254">
        <f t="shared" si="65"/>
        <v>3.3975226276910473E+25</v>
      </c>
      <c r="F254">
        <f t="shared" si="66"/>
        <v>140657.43678640935</v>
      </c>
      <c r="G254">
        <f t="shared" si="67"/>
        <v>1.4065743678640935E-5</v>
      </c>
      <c r="H254">
        <f t="shared" si="68"/>
        <v>1.8053922963486135</v>
      </c>
      <c r="I254">
        <f t="shared" si="69"/>
        <v>147690.30862572981</v>
      </c>
      <c r="J254">
        <f t="shared" si="70"/>
        <v>133624.56494708889</v>
      </c>
      <c r="K254">
        <f t="shared" si="71"/>
        <v>1.4769030862572982E-5</v>
      </c>
      <c r="L254">
        <f t="shared" si="72"/>
        <v>1.3362456494708889E-5</v>
      </c>
      <c r="M254">
        <f t="shared" si="73"/>
        <v>14065.743678640923</v>
      </c>
      <c r="N254">
        <f t="shared" si="74"/>
        <v>2038513.5766146283</v>
      </c>
      <c r="O254" s="8"/>
      <c r="Q254">
        <f t="shared" si="76"/>
        <v>30.875396777220221</v>
      </c>
      <c r="R254">
        <f t="shared" si="77"/>
        <v>1943.2948646110299</v>
      </c>
      <c r="S254">
        <f t="shared" si="78"/>
        <v>32.388247743517169</v>
      </c>
      <c r="T254">
        <v>3</v>
      </c>
      <c r="U254">
        <v>105</v>
      </c>
      <c r="V254">
        <v>1.5E-3</v>
      </c>
      <c r="W254">
        <f t="shared" si="91"/>
        <v>1.4583333333333332E-3</v>
      </c>
      <c r="X254" s="12">
        <f t="shared" si="92"/>
        <v>2.1647784103616611E-8</v>
      </c>
      <c r="Z254">
        <f t="shared" si="81"/>
        <v>4</v>
      </c>
      <c r="AE254" s="12" t="e">
        <f t="shared" si="89"/>
        <v>#DIV/0!</v>
      </c>
      <c r="AM254">
        <v>3</v>
      </c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</row>
    <row r="255" spans="1:91" x14ac:dyDescent="0.25">
      <c r="A255">
        <v>4</v>
      </c>
      <c r="B255">
        <v>2000</v>
      </c>
      <c r="C255">
        <v>0.2</v>
      </c>
      <c r="D255">
        <f t="shared" si="90"/>
        <v>400</v>
      </c>
      <c r="E255">
        <f t="shared" si="65"/>
        <v>4.2469032846138089E+25</v>
      </c>
      <c r="F255">
        <f t="shared" si="66"/>
        <v>175821.79598301169</v>
      </c>
      <c r="G255">
        <f t="shared" si="67"/>
        <v>1.7582179598301168E-5</v>
      </c>
      <c r="H255">
        <f t="shared" si="68"/>
        <v>2.2567403704357667</v>
      </c>
      <c r="I255">
        <f t="shared" si="69"/>
        <v>184612.88578216228</v>
      </c>
      <c r="J255">
        <f t="shared" si="70"/>
        <v>167030.7061838611</v>
      </c>
      <c r="K255">
        <f t="shared" si="71"/>
        <v>1.8461288578216229E-5</v>
      </c>
      <c r="L255">
        <f t="shared" si="72"/>
        <v>1.6703070618386111E-5</v>
      </c>
      <c r="M255">
        <f t="shared" si="73"/>
        <v>17582.179598301183</v>
      </c>
      <c r="N255">
        <f t="shared" si="74"/>
        <v>2548141.970768285</v>
      </c>
      <c r="O255" s="8"/>
      <c r="Q255">
        <f t="shared" si="76"/>
        <v>28.662179382901847</v>
      </c>
      <c r="R255">
        <f t="shared" si="77"/>
        <v>2093.3509346394098</v>
      </c>
      <c r="S255">
        <f t="shared" si="78"/>
        <v>34.889182243990163</v>
      </c>
      <c r="T255">
        <v>4</v>
      </c>
      <c r="U255">
        <v>75</v>
      </c>
      <c r="V255">
        <v>1E-3</v>
      </c>
      <c r="W255">
        <f t="shared" si="91"/>
        <v>1.0416666666666667E-3</v>
      </c>
      <c r="X255" s="12">
        <f t="shared" si="92"/>
        <v>1.6076818074849122E-8</v>
      </c>
      <c r="Z255">
        <f t="shared" si="81"/>
        <v>5</v>
      </c>
      <c r="AE255" s="12" t="e">
        <f t="shared" si="89"/>
        <v>#DIV/0!</v>
      </c>
      <c r="AM255">
        <v>4</v>
      </c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</row>
    <row r="256" spans="1:91" x14ac:dyDescent="0.25">
      <c r="A256">
        <v>5</v>
      </c>
      <c r="B256">
        <v>2000</v>
      </c>
      <c r="C256">
        <v>0.1</v>
      </c>
      <c r="D256">
        <f t="shared" si="90"/>
        <v>200</v>
      </c>
      <c r="E256">
        <f t="shared" si="65"/>
        <v>8.4938065692276177E+25</v>
      </c>
      <c r="F256">
        <f t="shared" si="66"/>
        <v>351643.59196602338</v>
      </c>
      <c r="G256">
        <f t="shared" si="67"/>
        <v>3.5164359196602337E-5</v>
      </c>
      <c r="H256">
        <f t="shared" si="68"/>
        <v>4.5134807408715334</v>
      </c>
      <c r="I256">
        <f t="shared" si="69"/>
        <v>369225.77156432456</v>
      </c>
      <c r="J256">
        <f t="shared" si="70"/>
        <v>334061.41236772219</v>
      </c>
      <c r="K256">
        <f t="shared" si="71"/>
        <v>3.6922577156432459E-5</v>
      </c>
      <c r="L256">
        <f t="shared" si="72"/>
        <v>3.3406141236772222E-5</v>
      </c>
      <c r="M256">
        <f t="shared" si="73"/>
        <v>35164.359196602367</v>
      </c>
      <c r="N256">
        <f t="shared" si="74"/>
        <v>5096283.94153657</v>
      </c>
      <c r="O256" s="8"/>
      <c r="Q256">
        <f t="shared" si="76"/>
        <v>22.7491868520598</v>
      </c>
      <c r="R256">
        <f t="shared" si="77"/>
        <v>2637.4569073693006</v>
      </c>
      <c r="S256">
        <f t="shared" si="78"/>
        <v>43.957615122821679</v>
      </c>
      <c r="T256">
        <v>5</v>
      </c>
      <c r="U256">
        <v>22</v>
      </c>
      <c r="V256">
        <v>3.1399999999999999E-4</v>
      </c>
      <c r="W256">
        <f t="shared" si="91"/>
        <v>3.0555555555555555E-4</v>
      </c>
      <c r="X256" s="12">
        <f t="shared" si="92"/>
        <v>6.3800894810792099E-9</v>
      </c>
      <c r="Z256">
        <f t="shared" si="81"/>
        <v>10</v>
      </c>
      <c r="AE256" s="12" t="e">
        <f t="shared" si="89"/>
        <v>#DIV/0!</v>
      </c>
      <c r="AM256">
        <v>5</v>
      </c>
    </row>
    <row r="257" spans="1:83" x14ac:dyDescent="0.25">
      <c r="A257">
        <v>6</v>
      </c>
      <c r="B257">
        <v>2000</v>
      </c>
      <c r="C257">
        <v>200</v>
      </c>
      <c r="D257">
        <f t="shared" si="90"/>
        <v>400000</v>
      </c>
      <c r="E257">
        <f t="shared" si="65"/>
        <v>4.2469032846138098E+22</v>
      </c>
      <c r="F257">
        <f t="shared" si="66"/>
        <v>175.82179598301175</v>
      </c>
      <c r="G257">
        <f t="shared" si="67"/>
        <v>1.7582179598301175E-8</v>
      </c>
      <c r="H257">
        <f t="shared" si="68"/>
        <v>2.2567403704357673E-3</v>
      </c>
      <c r="I257">
        <f t="shared" si="69"/>
        <v>184.61288578216235</v>
      </c>
      <c r="J257">
        <f t="shared" si="70"/>
        <v>167.03070618386116</v>
      </c>
      <c r="K257">
        <f t="shared" si="71"/>
        <v>1.8461288578216237E-8</v>
      </c>
      <c r="L257">
        <f t="shared" si="72"/>
        <v>1.6703070618386114E-8</v>
      </c>
      <c r="M257">
        <f t="shared" si="73"/>
        <v>17.582179598301195</v>
      </c>
      <c r="N257">
        <f t="shared" si="74"/>
        <v>2548.1419707682858</v>
      </c>
      <c r="O257" s="8"/>
      <c r="Q257">
        <f t="shared" si="76"/>
        <v>286.62179382901877</v>
      </c>
      <c r="R257">
        <f t="shared" si="77"/>
        <v>209.33509346394075</v>
      </c>
      <c r="S257">
        <f t="shared" si="78"/>
        <v>3.4889182243990127</v>
      </c>
      <c r="T257">
        <v>6</v>
      </c>
      <c r="X257" s="12">
        <f t="shared" si="92"/>
        <v>1.6076818074849133E-4</v>
      </c>
      <c r="Z257">
        <f t="shared" si="81"/>
        <v>5.0000000000000001E-3</v>
      </c>
      <c r="AE257" s="12"/>
    </row>
    <row r="258" spans="1:83" x14ac:dyDescent="0.25">
      <c r="A258">
        <v>7</v>
      </c>
      <c r="B258">
        <v>2000</v>
      </c>
      <c r="C258">
        <v>400</v>
      </c>
      <c r="D258">
        <f t="shared" si="90"/>
        <v>800000</v>
      </c>
      <c r="E258">
        <f t="shared" si="65"/>
        <v>2.1234516423069049E+22</v>
      </c>
      <c r="F258">
        <f t="shared" si="66"/>
        <v>87.910897991505877</v>
      </c>
      <c r="G258">
        <f t="shared" si="67"/>
        <v>8.7910897991505877E-9</v>
      </c>
      <c r="H258">
        <f t="shared" si="68"/>
        <v>1.1283701852178836E-3</v>
      </c>
      <c r="I258">
        <f t="shared" si="69"/>
        <v>92.306442891081176</v>
      </c>
      <c r="J258">
        <f t="shared" si="70"/>
        <v>83.515353091930578</v>
      </c>
      <c r="K258">
        <f t="shared" si="71"/>
        <v>9.2306442891081183E-9</v>
      </c>
      <c r="L258">
        <f t="shared" si="72"/>
        <v>8.3515353091930571E-9</v>
      </c>
      <c r="M258">
        <f t="shared" si="73"/>
        <v>8.7910897991505976</v>
      </c>
      <c r="N258">
        <f t="shared" si="74"/>
        <v>1274.0709853841429</v>
      </c>
      <c r="Q258">
        <f t="shared" si="76"/>
        <v>361.12083140380946</v>
      </c>
      <c r="R258">
        <f t="shared" si="77"/>
        <v>166.14937378926032</v>
      </c>
      <c r="S258">
        <f t="shared" si="78"/>
        <v>2.7691562298210055</v>
      </c>
      <c r="T258">
        <v>7</v>
      </c>
      <c r="X258" s="12">
        <f t="shared" si="92"/>
        <v>4.0511043015665615E-4</v>
      </c>
      <c r="Z258">
        <f t="shared" si="81"/>
        <v>2.5000000000000001E-3</v>
      </c>
      <c r="AE258" s="62" t="s">
        <v>218</v>
      </c>
      <c r="BK258" s="75"/>
      <c r="BL258" s="75"/>
      <c r="BM258" s="75"/>
      <c r="BN258" s="75"/>
      <c r="BO258" s="75"/>
      <c r="BP258" s="75"/>
      <c r="BQ258" s="75"/>
      <c r="BR258" s="75" t="s">
        <v>28</v>
      </c>
      <c r="BS258" s="75">
        <v>20000</v>
      </c>
      <c r="BT258" s="75" t="s">
        <v>250</v>
      </c>
      <c r="BU258" s="75">
        <v>0.1</v>
      </c>
      <c r="BV258" s="75"/>
      <c r="BW258" s="75"/>
      <c r="BX258" s="75"/>
      <c r="BY258" s="75"/>
      <c r="BZ258" s="75"/>
      <c r="CA258" s="75"/>
      <c r="CB258" s="75"/>
    </row>
    <row r="259" spans="1:83" x14ac:dyDescent="0.25">
      <c r="X259" s="12"/>
      <c r="AE259" s="12" t="s">
        <v>216</v>
      </c>
      <c r="AO259" t="s">
        <v>220</v>
      </c>
      <c r="BA259" s="12" t="s">
        <v>222</v>
      </c>
      <c r="BK259" s="75"/>
      <c r="BL259" s="76" t="s">
        <v>247</v>
      </c>
      <c r="BM259" s="75"/>
      <c r="BN259" s="75"/>
      <c r="BO259" s="75"/>
      <c r="BP259" s="75"/>
      <c r="BQ259" s="75"/>
      <c r="BR259" s="75" t="s">
        <v>10</v>
      </c>
      <c r="BS259" s="75">
        <f>2*BS258/SQRT(PI()/2*BE229*BE231)</f>
        <v>114.34166075275384</v>
      </c>
      <c r="BT259" s="75" t="s">
        <v>251</v>
      </c>
      <c r="BU259" s="75">
        <v>10</v>
      </c>
      <c r="BV259" s="75"/>
      <c r="BW259" s="75"/>
      <c r="BX259" s="75"/>
      <c r="BY259" s="75"/>
      <c r="BZ259" s="75"/>
      <c r="CA259" s="75"/>
      <c r="CB259" s="75"/>
    </row>
    <row r="260" spans="1:83" x14ac:dyDescent="0.25">
      <c r="B260" s="12" t="s">
        <v>230</v>
      </c>
      <c r="E260">
        <v>1</v>
      </c>
      <c r="F260">
        <v>2</v>
      </c>
      <c r="G260">
        <v>3</v>
      </c>
      <c r="H260">
        <v>4</v>
      </c>
      <c r="I260">
        <v>5</v>
      </c>
      <c r="J260">
        <v>6</v>
      </c>
      <c r="K260">
        <v>1</v>
      </c>
      <c r="L260">
        <v>2</v>
      </c>
      <c r="M260">
        <v>3</v>
      </c>
      <c r="N260">
        <v>4</v>
      </c>
      <c r="O260">
        <v>5</v>
      </c>
      <c r="P260">
        <v>6</v>
      </c>
      <c r="X260" s="12"/>
      <c r="Y260" s="97" t="s">
        <v>209</v>
      </c>
      <c r="Z260" s="97"/>
      <c r="AA260" s="97"/>
      <c r="AB260" s="97"/>
      <c r="AC260" s="97"/>
      <c r="AD260" s="97"/>
      <c r="AE260" s="97"/>
      <c r="AF260" s="97"/>
      <c r="AG260" s="97"/>
      <c r="AH260" s="97"/>
      <c r="AI260" s="97"/>
      <c r="AJ260" s="97"/>
      <c r="AO260" s="90" t="s">
        <v>211</v>
      </c>
      <c r="AP260" s="90"/>
      <c r="AQ260" s="90"/>
      <c r="AR260" s="90"/>
      <c r="AS260" s="90"/>
      <c r="AT260" s="90"/>
      <c r="AU260" t="s">
        <v>221</v>
      </c>
      <c r="BK260" s="75"/>
      <c r="BL260" s="76" t="s">
        <v>249</v>
      </c>
      <c r="BM260" s="75"/>
      <c r="BN260" s="75"/>
      <c r="BO260" s="75"/>
      <c r="BP260" s="75"/>
      <c r="BQ260" s="75"/>
      <c r="BR260" s="75"/>
      <c r="BS260" s="75"/>
      <c r="BT260" s="75"/>
      <c r="BU260" s="75"/>
      <c r="BV260" s="76" t="s">
        <v>248</v>
      </c>
      <c r="BW260" s="75"/>
      <c r="BX260" s="75"/>
      <c r="BY260" s="75"/>
      <c r="BZ260" s="75"/>
      <c r="CA260" s="75"/>
      <c r="CB260" s="75"/>
    </row>
    <row r="261" spans="1:83" x14ac:dyDescent="0.25">
      <c r="C261" t="s">
        <v>11</v>
      </c>
      <c r="D261" t="s">
        <v>67</v>
      </c>
      <c r="E261" s="35" t="s">
        <v>203</v>
      </c>
      <c r="F261" s="35"/>
      <c r="G261" s="35"/>
      <c r="H261" s="35"/>
      <c r="I261" s="35"/>
      <c r="J261" s="35"/>
      <c r="K261" s="9" t="s">
        <v>204</v>
      </c>
      <c r="L261" s="9"/>
      <c r="M261" s="9"/>
      <c r="N261" s="9"/>
      <c r="O261" s="9"/>
      <c r="P261" s="9"/>
      <c r="Q261" s="48" t="s">
        <v>26</v>
      </c>
      <c r="R261" s="48" t="s">
        <v>200</v>
      </c>
      <c r="S261" s="48" t="s">
        <v>181</v>
      </c>
      <c r="T261" s="48" t="s">
        <v>201</v>
      </c>
      <c r="U261" s="50" t="s">
        <v>95</v>
      </c>
      <c r="V261" s="50" t="s">
        <v>96</v>
      </c>
      <c r="W261" s="50" t="s">
        <v>205</v>
      </c>
      <c r="X261" s="51" t="s">
        <v>206</v>
      </c>
      <c r="Y261" s="35" t="s">
        <v>210</v>
      </c>
      <c r="Z261" s="35"/>
      <c r="AA261" s="35"/>
      <c r="AB261" s="35"/>
      <c r="AC261" s="35"/>
      <c r="AD261" s="35"/>
      <c r="AE261" s="9" t="s">
        <v>204</v>
      </c>
      <c r="AF261" s="9"/>
      <c r="AG261" s="9"/>
      <c r="AH261" s="9"/>
      <c r="AI261" s="9"/>
      <c r="AJ261" s="9"/>
      <c r="AK261" s="48" t="s">
        <v>26</v>
      </c>
      <c r="AL261" s="48" t="s">
        <v>200</v>
      </c>
      <c r="AM261" s="48" t="s">
        <v>181</v>
      </c>
      <c r="AN261" s="51" t="s">
        <v>206</v>
      </c>
      <c r="AO261" s="63" t="s">
        <v>95</v>
      </c>
      <c r="AP261" s="63" t="s">
        <v>96</v>
      </c>
      <c r="AQ261" t="s">
        <v>219</v>
      </c>
      <c r="AR261" t="s">
        <v>217</v>
      </c>
      <c r="AS261" s="55" t="s">
        <v>11</v>
      </c>
      <c r="AT261" s="55" t="s">
        <v>67</v>
      </c>
      <c r="AU261" s="63" t="s">
        <v>95</v>
      </c>
      <c r="AV261" s="63" t="s">
        <v>96</v>
      </c>
      <c r="AW261" s="63" t="s">
        <v>95</v>
      </c>
      <c r="AX261" s="63" t="s">
        <v>96</v>
      </c>
      <c r="BA261" s="65" t="s">
        <v>67</v>
      </c>
      <c r="BB261" s="65" t="s">
        <v>181</v>
      </c>
      <c r="BK261" s="75"/>
      <c r="BL261" s="78" t="s">
        <v>181</v>
      </c>
      <c r="BM261" s="78" t="s">
        <v>200</v>
      </c>
      <c r="BN261" s="78" t="s">
        <v>252</v>
      </c>
      <c r="BO261" s="78" t="s">
        <v>253</v>
      </c>
      <c r="BP261" s="78" t="s">
        <v>254</v>
      </c>
      <c r="BQ261" s="78" t="s">
        <v>255</v>
      </c>
      <c r="BR261" s="78" t="s">
        <v>67</v>
      </c>
      <c r="BS261" s="78"/>
      <c r="BT261" s="78"/>
      <c r="BU261" s="78"/>
      <c r="BV261" s="78"/>
      <c r="BW261" s="78"/>
      <c r="BX261" s="78"/>
      <c r="BY261" s="78"/>
      <c r="BZ261" s="78"/>
      <c r="CA261" s="78" t="s">
        <v>181</v>
      </c>
      <c r="CB261" s="75"/>
    </row>
    <row r="262" spans="1:83" x14ac:dyDescent="0.25">
      <c r="A262">
        <v>0</v>
      </c>
      <c r="C262">
        <v>100</v>
      </c>
      <c r="D262">
        <f t="shared" ref="D262:D269" si="93">1/C262</f>
        <v>0.01</v>
      </c>
      <c r="E262" s="35">
        <v>13082500</v>
      </c>
      <c r="F262" s="35">
        <v>13110000.000000009</v>
      </c>
      <c r="G262" s="35">
        <v>12899999.999999978</v>
      </c>
      <c r="H262" s="35"/>
      <c r="I262" s="35"/>
      <c r="J262" s="35"/>
      <c r="K262" s="9">
        <v>0.22218087659354296</v>
      </c>
      <c r="L262" s="9">
        <v>0.22606620526864898</v>
      </c>
      <c r="M262" s="9">
        <v>0.2331197371771819</v>
      </c>
      <c r="N262" s="9"/>
      <c r="O262" s="9"/>
      <c r="P262" s="9"/>
      <c r="Q262">
        <f t="shared" ref="Q262:Q269" si="94">AVERAGE(E262:J262)</f>
        <v>13030833.333333328</v>
      </c>
      <c r="R262" s="79">
        <f t="shared" ref="R262:R269" si="95">AVERAGE(K262:P262)</f>
        <v>0.22712227301312463</v>
      </c>
      <c r="S262" s="44">
        <f t="shared" ref="S262:S269" si="96">R262*$BE$227/(0.5*Q262*($BE$232^2)*SQRT(PI()/2/$BE$229/$BE$231))*2/$BH$227*10^20</f>
        <v>2.0626824876705387</v>
      </c>
      <c r="T262" s="49"/>
      <c r="U262">
        <v>3.6922577156432473E-8</v>
      </c>
      <c r="V262">
        <v>3.3406141236772228E-8</v>
      </c>
      <c r="W262">
        <f>(U262-V262)/20000*10^20</f>
        <v>17582179.598301224</v>
      </c>
      <c r="X262" s="12">
        <f>R262*$BE$227/(0.5*W262*($BE$232^2)*SQRT(PI()/2/$BE$229/$BE$231))*2/$BH$227*10^20</f>
        <v>1.5287337708128714</v>
      </c>
      <c r="Y262">
        <v>13643276.327632753</v>
      </c>
      <c r="Z262">
        <v>13285915.391539132</v>
      </c>
      <c r="AA262">
        <v>13471978.397839768</v>
      </c>
      <c r="AB262">
        <v>13283437.14371437</v>
      </c>
      <c r="AE262" s="62">
        <v>0.2215</v>
      </c>
      <c r="AG262" s="24"/>
      <c r="AI262" s="53"/>
      <c r="AK262">
        <f>AVERAGE(Y262:AE262)</f>
        <v>10736921.496445205</v>
      </c>
      <c r="AL262">
        <f>AVERAGE(AE262:AJ262)</f>
        <v>0.2215</v>
      </c>
      <c r="AM262" s="52">
        <f t="shared" ref="AM262:AM273" si="97">AL262*$BE$227/(0.5*AK262*($BE$232^2)*SQRT(PI()/2/$BE$229/$BE$231))*2/$BH$227*10^20</f>
        <v>2.4413992027788751</v>
      </c>
      <c r="AN262" s="12">
        <f t="shared" ref="AN262:AN273" si="98">AL262*$BE$227/(0.5*W262*($BE$232^2)*SQRT(PI()/2/$BE$229/$BE$231))*2/$BH$227*10^20</f>
        <v>1.4908909009354778</v>
      </c>
      <c r="AO262">
        <v>3.684973333333333E-3</v>
      </c>
      <c r="AP262">
        <v>3.3435466666666695E-3</v>
      </c>
      <c r="AQ262">
        <f t="shared" ref="AQ262:AQ285" si="99">(AO262-AP262)/20000*10^15</f>
        <v>17071333.333333172</v>
      </c>
      <c r="AR262" s="12">
        <f>AL262*$BE$227/(0.5*AQ262*($BE$232^2)*SQRT(PI()/2/$BE$229/$BE$231))*2/$BH$227*10^20</f>
        <v>1.5355046421908625</v>
      </c>
      <c r="AS262">
        <v>100</v>
      </c>
      <c r="AT262">
        <f t="shared" ref="AT262:AT269" si="100">1/AS262</f>
        <v>0.01</v>
      </c>
      <c r="BA262">
        <f>AT262</f>
        <v>0.01</v>
      </c>
      <c r="BB262">
        <f>AR262</f>
        <v>1.5355046421908625</v>
      </c>
      <c r="BK262" s="75">
        <v>0</v>
      </c>
      <c r="BL262" s="76">
        <f t="shared" ref="BL262:BL269" si="101">BM262*$BE$227/(0.5*AQ262*($BE$232^2)*SQRT(PI()/2/$BE$229/$BE$231))*2/$BH$227*10^20</f>
        <v>1.5632823264584936</v>
      </c>
      <c r="BM262" s="75">
        <v>0.22550699346405201</v>
      </c>
      <c r="BN262" s="75">
        <v>1130465</v>
      </c>
      <c r="BO262" s="75">
        <v>2110466</v>
      </c>
      <c r="BP262" s="75">
        <f>BO262-BN262</f>
        <v>980001</v>
      </c>
      <c r="BQ262" s="82">
        <f>BP262/$BS$259/$BU$259*BR262*$BU$258</f>
        <v>0.85708130662812465</v>
      </c>
      <c r="BR262" s="75">
        <v>0.01</v>
      </c>
      <c r="BS262" s="75"/>
      <c r="BT262" s="75"/>
      <c r="BU262" s="75">
        <v>0.01</v>
      </c>
      <c r="BV262" s="75">
        <v>0</v>
      </c>
      <c r="BW262" s="75">
        <v>0.22830999342105299</v>
      </c>
      <c r="BX262" s="75">
        <v>1302060</v>
      </c>
      <c r="BY262" s="75">
        <v>2580120</v>
      </c>
      <c r="BZ262" s="75"/>
      <c r="CA262" s="76">
        <f>BW262*$BE$227/(0.5*W262*($BE$232^2)*SQRT(PI()/2/$BE$229/$BE$231))*2/$BH$227*10^20</f>
        <v>1.5367281796121295</v>
      </c>
      <c r="CB262" s="75"/>
      <c r="CC262">
        <v>3.6772125000000002E-3</v>
      </c>
      <c r="CD262">
        <v>3.3376371527777779E-3</v>
      </c>
      <c r="CE262">
        <f>(CC262-CD262)/20000*10^15</f>
        <v>16978767.361111116</v>
      </c>
    </row>
    <row r="263" spans="1:83" x14ac:dyDescent="0.25">
      <c r="A263">
        <v>1</v>
      </c>
      <c r="C263">
        <v>65</v>
      </c>
      <c r="D263">
        <f t="shared" si="93"/>
        <v>1.5384615384615385E-2</v>
      </c>
      <c r="E263" s="35">
        <v>20812500.000000041</v>
      </c>
      <c r="F263" s="35">
        <v>20965000.000000004</v>
      </c>
      <c r="G263" s="35">
        <v>20505000.000000048</v>
      </c>
      <c r="H263" s="35"/>
      <c r="I263" s="35"/>
      <c r="J263" s="35"/>
      <c r="K263" s="9">
        <v>0.34329077511205952</v>
      </c>
      <c r="L263" s="9">
        <v>0.34967493951861206</v>
      </c>
      <c r="M263" s="9">
        <v>0.35681635491336777</v>
      </c>
      <c r="N263" s="9"/>
      <c r="O263" s="9"/>
      <c r="P263" s="9"/>
      <c r="Q263">
        <f t="shared" si="94"/>
        <v>20760833.333333362</v>
      </c>
      <c r="R263" s="79">
        <f t="shared" si="95"/>
        <v>0.34992735651467982</v>
      </c>
      <c r="S263" s="44">
        <f t="shared" si="96"/>
        <v>1.9947017082524414</v>
      </c>
      <c r="T263" s="49"/>
      <c r="U263">
        <v>5.6803964856049949E-8</v>
      </c>
      <c r="V263">
        <v>5.1394063441188043E-8</v>
      </c>
      <c r="W263">
        <f t="shared" ref="W263:W273" si="102">(U263-V263)/20000*10^20</f>
        <v>27049507.074309532</v>
      </c>
      <c r="X263" s="12">
        <f t="shared" ref="X263:X271" si="103">R263*$BE$227/(0.5*W263*($BE$232^2)*SQRT(PI()/2/$BE$229/$BE$231))*2/$BH$227*10^20</f>
        <v>1.5309583868193786</v>
      </c>
      <c r="Y263">
        <v>20045594.959495947</v>
      </c>
      <c r="Z263">
        <v>19716979.297929768</v>
      </c>
      <c r="AA263">
        <v>21180726.072607223</v>
      </c>
      <c r="AB263">
        <v>20819145.514551457</v>
      </c>
      <c r="AC263">
        <v>21545893.78937893</v>
      </c>
      <c r="AE263" s="62">
        <v>0.34329999999999999</v>
      </c>
      <c r="AK263">
        <f>AVERAGE(Y263:AE263)</f>
        <v>17218056.662877221</v>
      </c>
      <c r="AL263">
        <f t="shared" ref="AL263:AL273" si="104">AVERAGE(AE263:AJ263)</f>
        <v>0.34329999999999999</v>
      </c>
      <c r="AM263" s="52">
        <f t="shared" si="97"/>
        <v>2.3595789673981749</v>
      </c>
      <c r="AN263" s="12">
        <f t="shared" si="98"/>
        <v>1.5019632058205319</v>
      </c>
      <c r="AO263">
        <v>5.670413333333334E-3</v>
      </c>
      <c r="AP263">
        <v>5.1439333333333321E-3</v>
      </c>
      <c r="AQ263">
        <f t="shared" si="99"/>
        <v>26324000.000000093</v>
      </c>
      <c r="AR263" s="12">
        <f t="shared" ref="AR263:AR269" si="105">AL263*$BE$227/(0.5*AQ263*($BE$232^2)*SQRT(PI()/2/$BE$229/$BE$231))*2/$BH$227*10^20</f>
        <v>1.5433583179302139</v>
      </c>
      <c r="AS263">
        <v>65.514340198019042</v>
      </c>
      <c r="AT263">
        <f t="shared" si="100"/>
        <v>1.5263833795432729E-2</v>
      </c>
      <c r="BA263">
        <f t="shared" ref="BA263:BA286" si="106">AT263</f>
        <v>1.5263833795432729E-2</v>
      </c>
      <c r="BB263">
        <f t="shared" ref="BB263:BB286" si="107">AR263</f>
        <v>1.5433583179302139</v>
      </c>
      <c r="BK263" s="75">
        <v>1</v>
      </c>
      <c r="BL263" s="76">
        <f t="shared" si="101"/>
        <v>1.5888087345306086</v>
      </c>
      <c r="BM263" s="75">
        <v>0.35340985448916401</v>
      </c>
      <c r="BN263" s="75">
        <v>671323.3</v>
      </c>
      <c r="BO263" s="75">
        <v>1229324</v>
      </c>
      <c r="BP263" s="75">
        <f t="shared" ref="BP263:BP269" si="108">BO263-BN263</f>
        <v>558000.69999999995</v>
      </c>
      <c r="BQ263" s="82">
        <f t="shared" ref="BQ263:BQ269" si="109">BP263/$BS$259/$BU$259*BR263*$BU$258</f>
        <v>0.74489297133372168</v>
      </c>
      <c r="BR263" s="75">
        <v>1.5263833795432729E-2</v>
      </c>
      <c r="BS263" s="75"/>
      <c r="BT263" s="75"/>
      <c r="BU263" s="75">
        <v>1.5384615384615385E-2</v>
      </c>
      <c r="BV263" s="75">
        <v>1</v>
      </c>
      <c r="BW263" s="75">
        <v>0.35227905263157899</v>
      </c>
      <c r="BX263" s="75">
        <v>995302.7</v>
      </c>
      <c r="BY263" s="75">
        <v>1980896</v>
      </c>
      <c r="BZ263" s="75"/>
      <c r="CA263" s="76">
        <f t="shared" ref="CA263:CA272" si="110">BW263*$BE$227/(0.5*W263*($BE$232^2)*SQRT(PI()/2/$BE$229/$BE$231))*2/$BH$227*10^20</f>
        <v>1.541247233422506</v>
      </c>
      <c r="CB263" s="75"/>
      <c r="CC263">
        <v>5.660524561403508E-3</v>
      </c>
      <c r="CD263">
        <v>5.1391255482456134E-3</v>
      </c>
      <c r="CE263">
        <f>(CC263-CD263)/20000*10^15</f>
        <v>26069950.657894727</v>
      </c>
    </row>
    <row r="264" spans="1:83" x14ac:dyDescent="0.25">
      <c r="A264">
        <v>2</v>
      </c>
      <c r="C264">
        <v>40</v>
      </c>
      <c r="D264">
        <f t="shared" si="93"/>
        <v>2.5000000000000001E-2</v>
      </c>
      <c r="E264" s="35">
        <v>32727499.999999925</v>
      </c>
      <c r="F264" s="35">
        <v>32877499.999999993</v>
      </c>
      <c r="G264" s="35">
        <v>32767500.000000037</v>
      </c>
      <c r="H264" s="35"/>
      <c r="I264" s="35"/>
      <c r="J264" s="35"/>
      <c r="K264" s="9">
        <v>0.56189249009132669</v>
      </c>
      <c r="L264" s="9">
        <v>0.54683069151932906</v>
      </c>
      <c r="M264" s="9">
        <v>0.55535117471270057</v>
      </c>
      <c r="N264" s="9"/>
      <c r="O264" s="9"/>
      <c r="P264" s="9"/>
      <c r="Q264">
        <f t="shared" si="94"/>
        <v>32790833.333333317</v>
      </c>
      <c r="R264" s="79">
        <f t="shared" si="95"/>
        <v>0.55469145210778548</v>
      </c>
      <c r="S264" s="44">
        <f t="shared" si="96"/>
        <v>2.0019068480644013</v>
      </c>
      <c r="T264" s="49"/>
      <c r="U264">
        <v>9.230644289108117E-8</v>
      </c>
      <c r="V264">
        <v>8.3515353091930577E-8</v>
      </c>
      <c r="W264">
        <f t="shared" si="102"/>
        <v>43955448.99575296</v>
      </c>
      <c r="X264" s="12">
        <f t="shared" si="103"/>
        <v>1.4934256230685088</v>
      </c>
      <c r="Y264">
        <v>35439980.798079759</v>
      </c>
      <c r="Z264">
        <v>33546190.219021909</v>
      </c>
      <c r="AC264">
        <v>34697347.734773487</v>
      </c>
      <c r="AD264">
        <v>33359710.771077018</v>
      </c>
      <c r="AE264" s="64">
        <v>0.54979999999999996</v>
      </c>
      <c r="AK264">
        <f t="shared" ref="AK264:AK272" si="111">AVERAGE(Y264:AD264)</f>
        <v>34260807.380738042</v>
      </c>
      <c r="AL264">
        <f t="shared" si="104"/>
        <v>0.54979999999999996</v>
      </c>
      <c r="AM264" s="52">
        <f t="shared" si="97"/>
        <v>1.8991181654495981</v>
      </c>
      <c r="AN264" s="12">
        <f t="shared" si="98"/>
        <v>1.4802561035382891</v>
      </c>
      <c r="AO264">
        <v>9.2132133333333345E-3</v>
      </c>
      <c r="AP264">
        <v>8.3734266666666678E-3</v>
      </c>
      <c r="AQ264">
        <f t="shared" si="99"/>
        <v>41989333.333333336</v>
      </c>
      <c r="AR264" s="12">
        <f t="shared" si="105"/>
        <v>1.5495678662770533</v>
      </c>
      <c r="AS264">
        <v>40.223117274074006</v>
      </c>
      <c r="AT264">
        <f t="shared" si="100"/>
        <v>2.4861325222164086E-2</v>
      </c>
      <c r="BA264">
        <f t="shared" si="106"/>
        <v>2.4861325222164086E-2</v>
      </c>
      <c r="BB264">
        <f t="shared" si="107"/>
        <v>1.5495678662770533</v>
      </c>
      <c r="BK264" s="75">
        <v>2</v>
      </c>
      <c r="BL264" s="76">
        <f t="shared" si="101"/>
        <v>1.5564653069398464</v>
      </c>
      <c r="BM264" s="75">
        <v>0.55224727124183004</v>
      </c>
      <c r="BN264" s="75">
        <v>183800.4</v>
      </c>
      <c r="BO264" s="75">
        <v>431800.8</v>
      </c>
      <c r="BP264" s="75">
        <f t="shared" si="108"/>
        <v>248000.4</v>
      </c>
      <c r="BQ264" s="82">
        <f t="shared" si="109"/>
        <v>0.5392276584961434</v>
      </c>
      <c r="BR264" s="75">
        <v>2.4861325222164086E-2</v>
      </c>
      <c r="BS264" s="75"/>
      <c r="BT264" s="75"/>
      <c r="BU264" s="75">
        <v>2.5000000000000001E-2</v>
      </c>
      <c r="BV264" s="75">
        <v>2</v>
      </c>
      <c r="BW264" s="75">
        <v>0.55333826973684197</v>
      </c>
      <c r="BX264" s="75">
        <v>640117.9</v>
      </c>
      <c r="BY264" s="75">
        <v>1277036</v>
      </c>
      <c r="BZ264" s="75"/>
      <c r="CA264" s="76">
        <f t="shared" si="110"/>
        <v>1.4897823774086514</v>
      </c>
      <c r="CB264" s="75"/>
    </row>
    <row r="265" spans="1:83" x14ac:dyDescent="0.25">
      <c r="A265">
        <v>3</v>
      </c>
      <c r="C265">
        <v>25</v>
      </c>
      <c r="D265">
        <f t="shared" si="93"/>
        <v>0.04</v>
      </c>
      <c r="E265" s="35">
        <v>51072500.000000097</v>
      </c>
      <c r="F265" s="35">
        <v>53092499.999999888</v>
      </c>
      <c r="G265" s="35">
        <v>53942500.000000045</v>
      </c>
      <c r="H265" s="35">
        <v>52200000.000000164</v>
      </c>
      <c r="I265" s="35"/>
      <c r="J265" s="35"/>
      <c r="K265" s="9">
        <v>0.88924919738847186</v>
      </c>
      <c r="L265" s="9">
        <v>0.85038261608761512</v>
      </c>
      <c r="M265" s="9">
        <v>0.85953568813319325</v>
      </c>
      <c r="N265" s="9">
        <v>0.91170099481618061</v>
      </c>
      <c r="O265" s="9"/>
      <c r="P265" s="9"/>
      <c r="Q265">
        <f t="shared" si="94"/>
        <v>52576875.000000045</v>
      </c>
      <c r="R265" s="79">
        <f t="shared" si="95"/>
        <v>0.87771712410636527</v>
      </c>
      <c r="S265" s="44">
        <f t="shared" si="96"/>
        <v>1.9756256114290456</v>
      </c>
      <c r="T265" s="49"/>
      <c r="U265">
        <v>1.4769030862572989E-7</v>
      </c>
      <c r="V265">
        <v>1.3362456494708891E-7</v>
      </c>
      <c r="W265">
        <f t="shared" si="102"/>
        <v>70328718.393204898</v>
      </c>
      <c r="X265" s="12">
        <f t="shared" si="103"/>
        <v>1.4769531308413495</v>
      </c>
      <c r="Y265">
        <v>52162546.654665403</v>
      </c>
      <c r="Z265">
        <v>53074547.854785457</v>
      </c>
      <c r="AA265">
        <v>60622317.431743078</v>
      </c>
      <c r="AB265">
        <v>51755608.760876052</v>
      </c>
      <c r="AC265">
        <v>55376136.813681349</v>
      </c>
      <c r="AD265">
        <v>48703875.187518708</v>
      </c>
      <c r="AE265" s="64">
        <v>0.89729999999999999</v>
      </c>
      <c r="AK265">
        <f t="shared" si="111"/>
        <v>53615838.783878349</v>
      </c>
      <c r="AL265">
        <f t="shared" si="104"/>
        <v>0.89729999999999999</v>
      </c>
      <c r="AM265" s="52">
        <f t="shared" si="97"/>
        <v>1.9805664077784901</v>
      </c>
      <c r="AN265" s="12">
        <f t="shared" si="98"/>
        <v>1.5099056494462801</v>
      </c>
      <c r="AO265" s="53">
        <f>(AU265+AW265)/2</f>
        <v>1.4686753333333333E-2</v>
      </c>
      <c r="AP265" s="53">
        <f>(AV265+AX265)/2</f>
        <v>1.329754E-2</v>
      </c>
      <c r="AQ265">
        <f t="shared" si="99"/>
        <v>69460666.666666672</v>
      </c>
      <c r="AR265" s="12">
        <f t="shared" si="105"/>
        <v>1.5287749789360394</v>
      </c>
      <c r="AS265">
        <v>25.197073782481151</v>
      </c>
      <c r="AT265">
        <f t="shared" si="100"/>
        <v>3.968714814397508E-2</v>
      </c>
      <c r="AU265">
        <v>1.4701959999999998E-2</v>
      </c>
      <c r="AV265">
        <v>1.3286106666666672E-2</v>
      </c>
      <c r="AW265">
        <v>1.4671546666666667E-2</v>
      </c>
      <c r="AX265">
        <v>1.330897333333333E-2</v>
      </c>
      <c r="BA265">
        <f t="shared" si="106"/>
        <v>3.968714814397508E-2</v>
      </c>
      <c r="BB265">
        <f t="shared" si="107"/>
        <v>1.5287749789360394</v>
      </c>
      <c r="BK265" s="75">
        <v>3</v>
      </c>
      <c r="BL265" s="76">
        <f t="shared" si="101"/>
        <v>1.5167718889949917</v>
      </c>
      <c r="BM265" s="75">
        <v>0.89025489999999996</v>
      </c>
      <c r="BN265" s="75">
        <v>91020.32</v>
      </c>
      <c r="BO265" s="75">
        <v>224220.6</v>
      </c>
      <c r="BP265" s="75">
        <f t="shared" si="108"/>
        <v>133200.28</v>
      </c>
      <c r="BQ265" s="82">
        <f t="shared" si="109"/>
        <v>0.4623283596177471</v>
      </c>
      <c r="BR265" s="75">
        <v>3.968714814397508E-2</v>
      </c>
      <c r="BS265" s="75"/>
      <c r="BT265" s="75"/>
      <c r="BU265" s="75">
        <v>0.04</v>
      </c>
      <c r="BV265" s="75">
        <v>3</v>
      </c>
      <c r="BW265" s="75">
        <v>0.88486077990430601</v>
      </c>
      <c r="BX265" s="75">
        <v>332008.09999999998</v>
      </c>
      <c r="BY265" s="75">
        <v>688016.5</v>
      </c>
      <c r="BZ265" s="75"/>
      <c r="CA265" s="76">
        <f t="shared" si="110"/>
        <v>1.4889739112347635</v>
      </c>
      <c r="CB265" s="75"/>
    </row>
    <row r="266" spans="1:83" x14ac:dyDescent="0.25">
      <c r="A266">
        <v>4</v>
      </c>
      <c r="C266">
        <v>15</v>
      </c>
      <c r="D266">
        <f t="shared" si="93"/>
        <v>6.6666666666666666E-2</v>
      </c>
      <c r="E266" s="35">
        <v>89370000.000000075</v>
      </c>
      <c r="F266" s="35">
        <v>88460000.000000283</v>
      </c>
      <c r="G266" s="35">
        <v>93012500.000000045</v>
      </c>
      <c r="H266" s="35">
        <v>89094999.999999791</v>
      </c>
      <c r="I266" s="35"/>
      <c r="J266" s="35"/>
      <c r="K266" s="9">
        <v>1.472923264328625</v>
      </c>
      <c r="L266" s="9">
        <v>1.5085141398100881</v>
      </c>
      <c r="M266" s="9">
        <v>1.4683877948480062</v>
      </c>
      <c r="N266" s="9">
        <v>1.5221137048848208</v>
      </c>
      <c r="O266" s="9"/>
      <c r="P266" s="9"/>
      <c r="Q266">
        <f t="shared" si="94"/>
        <v>89984375.00000006</v>
      </c>
      <c r="R266" s="79">
        <f t="shared" si="95"/>
        <v>1.492984725967885</v>
      </c>
      <c r="S266" s="44">
        <f t="shared" si="96"/>
        <v>1.963509947168729</v>
      </c>
      <c r="T266" s="49"/>
      <c r="U266">
        <v>2.4615051437621644E-7</v>
      </c>
      <c r="V266">
        <v>2.2270760824514819E-7</v>
      </c>
      <c r="W266">
        <f t="shared" si="102"/>
        <v>117214530.65534124</v>
      </c>
      <c r="X266" s="12">
        <f t="shared" si="103"/>
        <v>1.5073661466238188</v>
      </c>
      <c r="Y266">
        <v>63615260.726072401</v>
      </c>
      <c r="Z266">
        <v>90506239.423942313</v>
      </c>
      <c r="AA266">
        <v>88746295.829582825</v>
      </c>
      <c r="AB266">
        <v>87432360.036003381</v>
      </c>
      <c r="AC266" s="12">
        <v>84952042.004200265</v>
      </c>
      <c r="AD266">
        <v>85002145.814581394</v>
      </c>
      <c r="AE266" s="64">
        <v>1.4553</v>
      </c>
      <c r="AI266" s="12"/>
      <c r="AK266">
        <f t="shared" si="111"/>
        <v>83375723.972397104</v>
      </c>
      <c r="AL266">
        <f t="shared" si="104"/>
        <v>1.4553</v>
      </c>
      <c r="AM266" s="52">
        <f t="shared" si="97"/>
        <v>2.0656548495071849</v>
      </c>
      <c r="AN266" s="12">
        <f t="shared" si="98"/>
        <v>1.46931841634181</v>
      </c>
      <c r="AO266" s="53">
        <f>(AU266+AW266+AY266)/3</f>
        <v>2.4443711111111113E-2</v>
      </c>
      <c r="AP266" s="53">
        <f>(AV266+AX266+AZ266)/3</f>
        <v>2.2328662222222226E-2</v>
      </c>
      <c r="AQ266">
        <f t="shared" si="99"/>
        <v>105752444.44444437</v>
      </c>
      <c r="AR266" s="12">
        <f t="shared" si="105"/>
        <v>1.6285719867707729</v>
      </c>
      <c r="AS266">
        <v>15.030737893976125</v>
      </c>
      <c r="AT266">
        <f t="shared" si="100"/>
        <v>6.6530333178171544E-2</v>
      </c>
      <c r="AU266">
        <v>2.444466666666667E-2</v>
      </c>
      <c r="AV266">
        <v>2.2317893333333335E-2</v>
      </c>
      <c r="AW266">
        <v>2.4441906666666666E-2</v>
      </c>
      <c r="AX266">
        <v>2.2347893333333341E-2</v>
      </c>
      <c r="AY266">
        <v>2.4444560000000004E-2</v>
      </c>
      <c r="AZ266">
        <v>2.2320199999999998E-2</v>
      </c>
      <c r="BK266" s="75">
        <v>4</v>
      </c>
      <c r="BL266" s="76">
        <f t="shared" si="101"/>
        <v>1.6124349925337456</v>
      </c>
      <c r="BM266" s="75">
        <v>1.4408799019607901</v>
      </c>
      <c r="BN266" s="75">
        <v>69220.2</v>
      </c>
      <c r="BO266" s="75">
        <v>150420.29999999999</v>
      </c>
      <c r="BP266" s="75">
        <f t="shared" si="108"/>
        <v>81200.099999999991</v>
      </c>
      <c r="BQ266" s="82">
        <f t="shared" si="109"/>
        <v>0.4724673116986135</v>
      </c>
      <c r="BR266" s="75">
        <v>6.6530333178171544E-2</v>
      </c>
      <c r="BS266" s="75"/>
      <c r="BT266" s="75"/>
      <c r="BU266" s="75">
        <v>6.6666666666666666E-2</v>
      </c>
      <c r="BV266" s="75">
        <v>4</v>
      </c>
      <c r="BW266" s="75">
        <v>1.5105373092105301</v>
      </c>
      <c r="BX266" s="75">
        <v>222002.6</v>
      </c>
      <c r="BY266" s="75">
        <v>454005.2</v>
      </c>
      <c r="BZ266" s="75"/>
      <c r="CA266" s="76">
        <f t="shared" si="110"/>
        <v>1.5250878080082697</v>
      </c>
      <c r="CB266" s="75"/>
    </row>
    <row r="267" spans="1:83" x14ac:dyDescent="0.25">
      <c r="A267">
        <v>5</v>
      </c>
      <c r="C267">
        <v>10</v>
      </c>
      <c r="D267">
        <f t="shared" si="93"/>
        <v>0.1</v>
      </c>
      <c r="E267" s="35">
        <v>133654999.99999988</v>
      </c>
      <c r="F267" s="35">
        <v>135014999.99999979</v>
      </c>
      <c r="G267" s="35">
        <v>132214999.99999976</v>
      </c>
      <c r="H267" s="35">
        <v>132219999.9999999</v>
      </c>
      <c r="I267" s="35">
        <v>131970000.00000001</v>
      </c>
      <c r="J267" s="35">
        <v>132254999.99999988</v>
      </c>
      <c r="K267" s="9">
        <v>2.0435644370471424</v>
      </c>
      <c r="L267" s="9">
        <v>2.0658301297304269</v>
      </c>
      <c r="M267" s="9">
        <v>2.1383147401083611</v>
      </c>
      <c r="N267" s="9">
        <v>2.1230391081952846</v>
      </c>
      <c r="O267" s="9">
        <v>2.1772642702242848</v>
      </c>
      <c r="P267" s="9">
        <v>2.1389602369667702</v>
      </c>
      <c r="Q267">
        <f t="shared" si="94"/>
        <v>132888333.33333319</v>
      </c>
      <c r="R267" s="79">
        <f t="shared" si="95"/>
        <v>2.1144954870453785</v>
      </c>
      <c r="S267" s="44">
        <f t="shared" si="96"/>
        <v>1.8830625816698923</v>
      </c>
      <c r="T267" s="49"/>
      <c r="U267">
        <v>3.6922577156432468E-7</v>
      </c>
      <c r="V267">
        <v>3.3406141236772231E-7</v>
      </c>
      <c r="W267">
        <f t="shared" si="102"/>
        <v>175821795.98301184</v>
      </c>
      <c r="X267" s="12">
        <f t="shared" si="103"/>
        <v>1.4232424748104262</v>
      </c>
      <c r="Y267" s="12">
        <v>125953551.7551754</v>
      </c>
      <c r="Z267">
        <v>139517663.36633635</v>
      </c>
      <c r="AA267">
        <v>140667631.5631561</v>
      </c>
      <c r="AB267">
        <v>138597837.38373819</v>
      </c>
      <c r="AE267" s="62">
        <v>2.1368999999999998</v>
      </c>
      <c r="AK267">
        <f>AVERAGE(Y267:AE267)</f>
        <v>108947337.24106118</v>
      </c>
      <c r="AL267">
        <f t="shared" si="104"/>
        <v>2.1368999999999998</v>
      </c>
      <c r="AM267" s="52">
        <f t="shared" si="97"/>
        <v>2.3211992655056646</v>
      </c>
      <c r="AN267" s="12">
        <f t="shared" si="98"/>
        <v>1.4383226935480946</v>
      </c>
      <c r="AO267">
        <v>3.6901986666666664E-2</v>
      </c>
      <c r="AP267">
        <v>3.3508946666666671E-2</v>
      </c>
      <c r="AQ267">
        <f t="shared" si="99"/>
        <v>169651999.99999964</v>
      </c>
      <c r="AR267" s="12">
        <f t="shared" si="105"/>
        <v>1.490630698033325</v>
      </c>
      <c r="AS267">
        <v>10.002392697933148</v>
      </c>
      <c r="AT267">
        <f t="shared" si="100"/>
        <v>9.9976078744302421E-2</v>
      </c>
      <c r="BA267">
        <f t="shared" si="106"/>
        <v>9.9976078744302421E-2</v>
      </c>
      <c r="BB267">
        <f t="shared" si="107"/>
        <v>1.490630698033325</v>
      </c>
      <c r="BK267" s="75">
        <v>5</v>
      </c>
      <c r="BL267" s="76">
        <f t="shared" si="101"/>
        <v>1.5163141992569347</v>
      </c>
      <c r="BM267" s="75">
        <v>2.1737186928104602</v>
      </c>
      <c r="BN267" s="75">
        <v>44950.13</v>
      </c>
      <c r="BO267" s="75">
        <v>92150.19</v>
      </c>
      <c r="BP267" s="75">
        <f t="shared" si="108"/>
        <v>47200.060000000005</v>
      </c>
      <c r="BQ267" s="82">
        <f t="shared" si="109"/>
        <v>0.41269970054918492</v>
      </c>
      <c r="BR267" s="75">
        <v>9.9976078744302421E-2</v>
      </c>
      <c r="BS267" s="75"/>
      <c r="BT267" s="75"/>
      <c r="BU267" s="75">
        <v>0.1</v>
      </c>
      <c r="BV267" s="75">
        <v>5</v>
      </c>
      <c r="BW267" s="75">
        <v>2.1492122807017502</v>
      </c>
      <c r="BX267" s="75">
        <v>110059</v>
      </c>
      <c r="BY267" s="75">
        <v>236618.7</v>
      </c>
      <c r="BZ267" s="75"/>
      <c r="CA267" s="76">
        <f t="shared" si="110"/>
        <v>1.4466099473936946</v>
      </c>
      <c r="CB267" s="75"/>
    </row>
    <row r="268" spans="1:83" x14ac:dyDescent="0.25">
      <c r="A268">
        <v>6</v>
      </c>
      <c r="C268">
        <v>4</v>
      </c>
      <c r="D268">
        <f t="shared" si="93"/>
        <v>0.25</v>
      </c>
      <c r="E268" s="35">
        <v>336280000.00000131</v>
      </c>
      <c r="F268" s="35">
        <v>334489999.99999905</v>
      </c>
      <c r="G268" s="35">
        <v>332077499.99999911</v>
      </c>
      <c r="H268" s="35"/>
      <c r="I268" s="35"/>
      <c r="J268" s="35"/>
      <c r="K268" s="9">
        <v>5.163340440483756</v>
      </c>
      <c r="L268" s="9">
        <v>5.1258773087525205</v>
      </c>
      <c r="M268" s="9">
        <v>5.1447122465957849</v>
      </c>
      <c r="N268" s="9"/>
      <c r="O268" s="9"/>
      <c r="P268" s="9"/>
      <c r="Q268">
        <f t="shared" si="94"/>
        <v>334282499.99999982</v>
      </c>
      <c r="R268" s="79">
        <f t="shared" si="95"/>
        <v>5.1446433319440201</v>
      </c>
      <c r="S268" s="44">
        <f t="shared" si="96"/>
        <v>1.8213209179196863</v>
      </c>
      <c r="T268" s="49"/>
      <c r="U268">
        <v>9.2306442891081138E-7</v>
      </c>
      <c r="V268">
        <v>8.3515353091930556E-7</v>
      </c>
      <c r="W268">
        <f t="shared" si="102"/>
        <v>439554489.95752913</v>
      </c>
      <c r="X268" s="12">
        <f t="shared" si="103"/>
        <v>1.3851199877478546</v>
      </c>
      <c r="Y268">
        <v>350431000.30002952</v>
      </c>
      <c r="Z268">
        <v>349703285.92859232</v>
      </c>
      <c r="AA268">
        <v>338934791.47914737</v>
      </c>
      <c r="AD268">
        <v>352962001.80017954</v>
      </c>
      <c r="AE268" s="62">
        <v>5.2469000000000001</v>
      </c>
      <c r="AK268">
        <f>AVERAGE(Y268:AE268)</f>
        <v>278406216.95096976</v>
      </c>
      <c r="AL268">
        <f t="shared" si="104"/>
        <v>5.2469000000000001</v>
      </c>
      <c r="AM268" s="52">
        <f t="shared" si="97"/>
        <v>2.2303278306680356</v>
      </c>
      <c r="AN268" s="12">
        <f t="shared" si="98"/>
        <v>1.4126511003374058</v>
      </c>
      <c r="AO268">
        <v>9.2084559999999996E-2</v>
      </c>
      <c r="AP268">
        <v>8.3575960000000032E-2</v>
      </c>
      <c r="AQ268">
        <f t="shared" si="99"/>
        <v>425429999.99999815</v>
      </c>
      <c r="AR268" s="12">
        <f t="shared" si="105"/>
        <v>1.4595518273200141</v>
      </c>
      <c r="AS268">
        <v>4.0026059795751827</v>
      </c>
      <c r="AT268">
        <f t="shared" si="100"/>
        <v>0.24983723231886421</v>
      </c>
      <c r="BK268" s="75">
        <v>6</v>
      </c>
      <c r="BL268" s="76">
        <f t="shared" si="101"/>
        <v>1.5092569712264539</v>
      </c>
      <c r="BM268" s="75">
        <v>5.4255835620915001</v>
      </c>
      <c r="BN268" s="75">
        <v>13350.02</v>
      </c>
      <c r="BO268" s="75">
        <v>26150.03</v>
      </c>
      <c r="BP268" s="75">
        <f t="shared" si="108"/>
        <v>12800.009999999998</v>
      </c>
      <c r="BQ268" s="82">
        <f t="shared" si="109"/>
        <v>0.27968100611804042</v>
      </c>
      <c r="BR268" s="75">
        <v>0.24983723231886421</v>
      </c>
      <c r="BS268" s="75"/>
      <c r="BT268" s="75"/>
      <c r="BU268" s="75">
        <v>0.25</v>
      </c>
      <c r="BV268" s="75">
        <v>6</v>
      </c>
      <c r="BW268" s="75">
        <v>5.1500526315789399</v>
      </c>
      <c r="BX268" s="75">
        <v>43000.06</v>
      </c>
      <c r="BY268" s="75">
        <v>84000.14</v>
      </c>
      <c r="BZ268" s="75"/>
      <c r="CA268" s="76">
        <f t="shared" si="110"/>
        <v>1.3865763625751477</v>
      </c>
      <c r="CB268" s="75"/>
    </row>
    <row r="269" spans="1:83" x14ac:dyDescent="0.25">
      <c r="A269">
        <v>7</v>
      </c>
      <c r="C269">
        <v>2</v>
      </c>
      <c r="D269">
        <f t="shared" si="93"/>
        <v>0.5</v>
      </c>
      <c r="E269" s="35">
        <v>652904999.99999809</v>
      </c>
      <c r="F269" s="35">
        <v>631730000.0000025</v>
      </c>
      <c r="G269" s="35">
        <v>629012500.00000215</v>
      </c>
      <c r="H269" s="35">
        <v>632020000.00000119</v>
      </c>
      <c r="I269" s="35"/>
      <c r="J269" s="35"/>
      <c r="K269" s="9">
        <v>9.3527103015960975</v>
      </c>
      <c r="L269" s="9">
        <v>9.7320633080467491</v>
      </c>
      <c r="M269" s="9">
        <v>9.9187182531909794</v>
      </c>
      <c r="N269" s="9">
        <v>9.6365582839717767</v>
      </c>
      <c r="O269" s="9"/>
      <c r="P269" s="9"/>
      <c r="Q269">
        <f t="shared" si="94"/>
        <v>636416875.00000095</v>
      </c>
      <c r="R269" s="79">
        <f t="shared" si="95"/>
        <v>9.6600125367014016</v>
      </c>
      <c r="S269" s="44">
        <f t="shared" si="96"/>
        <v>1.7963081855909599</v>
      </c>
      <c r="T269" s="49"/>
      <c r="U269">
        <v>1.8461288578216228E-6</v>
      </c>
      <c r="V269">
        <v>1.6703070618386111E-6</v>
      </c>
      <c r="W269">
        <f t="shared" si="102"/>
        <v>879108979.91505826</v>
      </c>
      <c r="X269" s="12">
        <f t="shared" si="103"/>
        <v>1.3004085592677936</v>
      </c>
      <c r="AA269">
        <v>643704048.00479996</v>
      </c>
      <c r="AB269" s="12">
        <v>643103480.34803462</v>
      </c>
      <c r="AC269">
        <v>716340408.04080343</v>
      </c>
      <c r="AD269">
        <v>670231463.5463537</v>
      </c>
      <c r="AE269" s="64">
        <v>9.5902999999999992</v>
      </c>
      <c r="AH269" s="12"/>
      <c r="AK269">
        <f>AVERAGE(Z269:AE269)</f>
        <v>534675881.90605843</v>
      </c>
      <c r="AL269">
        <f>AVERAGE(AE269:AJ269)</f>
        <v>9.5902999999999992</v>
      </c>
      <c r="AM269" s="58">
        <f t="shared" si="97"/>
        <v>2.122689364798473</v>
      </c>
      <c r="AN269" s="12">
        <f t="shared" si="98"/>
        <v>1.2910240187125561</v>
      </c>
      <c r="AO269">
        <v>0.18376196000000003</v>
      </c>
      <c r="AP269">
        <v>0.16702497333333333</v>
      </c>
      <c r="AQ269">
        <f t="shared" si="99"/>
        <v>836849333.33333516</v>
      </c>
      <c r="AR269" s="12">
        <f t="shared" si="105"/>
        <v>1.3562188113546112</v>
      </c>
      <c r="AS269">
        <v>2</v>
      </c>
      <c r="AT269">
        <f t="shared" si="100"/>
        <v>0.5</v>
      </c>
      <c r="BK269" s="75">
        <v>7</v>
      </c>
      <c r="BL269" s="76">
        <f t="shared" si="101"/>
        <v>1.3814706280704889</v>
      </c>
      <c r="BM269" s="75">
        <v>9.7688644733893604</v>
      </c>
      <c r="BN269" s="75">
        <v>5580.01</v>
      </c>
      <c r="BO269" s="75">
        <v>11080.02</v>
      </c>
      <c r="BP269" s="75">
        <f t="shared" si="108"/>
        <v>5500.01</v>
      </c>
      <c r="BQ269" s="82">
        <f t="shared" si="109"/>
        <v>0.24050770138335326</v>
      </c>
      <c r="BR269" s="75">
        <v>0.5</v>
      </c>
      <c r="BS269" s="75"/>
      <c r="BT269" s="75"/>
      <c r="BU269" s="75">
        <v>0.5</v>
      </c>
      <c r="BV269" s="75">
        <v>7</v>
      </c>
      <c r="BW269" s="75">
        <v>9.4899254539473699</v>
      </c>
      <c r="BX269" s="75">
        <v>13500.02</v>
      </c>
      <c r="BY269" s="75">
        <v>26100.04</v>
      </c>
      <c r="BZ269" s="75"/>
      <c r="CA269" s="76">
        <f t="shared" si="110"/>
        <v>1.2775118293314824</v>
      </c>
      <c r="CB269" s="75"/>
    </row>
    <row r="270" spans="1:83" x14ac:dyDescent="0.25">
      <c r="A270">
        <v>0</v>
      </c>
      <c r="C270">
        <v>1</v>
      </c>
      <c r="D270">
        <f>1/C270</f>
        <v>1</v>
      </c>
      <c r="E270">
        <v>1326427499.9999993</v>
      </c>
      <c r="F270">
        <v>1263530000.0000014</v>
      </c>
      <c r="G270">
        <v>1370462500.0000052</v>
      </c>
      <c r="H270">
        <v>1372495000.0000014</v>
      </c>
      <c r="K270">
        <v>19.779155357654822</v>
      </c>
      <c r="L270">
        <v>19.90213108764577</v>
      </c>
      <c r="M270">
        <v>19.111201526286781</v>
      </c>
      <c r="N270">
        <v>18.739342259939153</v>
      </c>
      <c r="Q270" s="10">
        <f>AVERAGE(E270:J270)</f>
        <v>1333228750.0000019</v>
      </c>
      <c r="R270" s="79">
        <f>AVERAGE(K270:P270)</f>
        <v>19.382957557881632</v>
      </c>
      <c r="S270" s="44">
        <f>R270*$BE$227/(0.5*Q270*($BE$232^2)*SQRT(PI()/2/$BE$229/$BE$231))*2/$BH$227*10^20</f>
        <v>1.7205219599260182</v>
      </c>
      <c r="U270" s="59">
        <v>3.6922577156432455E-6</v>
      </c>
      <c r="V270" s="59">
        <v>3.3406141236772222E-6</v>
      </c>
      <c r="W270" s="60">
        <f t="shared" si="102"/>
        <v>1758217959.8301165</v>
      </c>
      <c r="X270" s="61">
        <f t="shared" si="103"/>
        <v>1.3046444720661117</v>
      </c>
      <c r="Y270" s="59">
        <v>1385507902.7902768</v>
      </c>
      <c r="Z270" s="59">
        <v>1403393761.7761762</v>
      </c>
      <c r="AA270" s="59">
        <v>1426935326.732672</v>
      </c>
      <c r="AB270" s="59"/>
      <c r="AC270" s="59"/>
      <c r="AD270" s="59"/>
      <c r="AE270" s="59"/>
      <c r="AF270" s="59"/>
      <c r="AG270" s="59"/>
      <c r="AH270" s="59"/>
      <c r="AI270" s="59"/>
      <c r="AJ270" s="59"/>
      <c r="AK270" s="59">
        <f t="shared" si="111"/>
        <v>1405278997.0997083</v>
      </c>
      <c r="AL270" s="59" t="e">
        <f t="shared" si="104"/>
        <v>#DIV/0!</v>
      </c>
      <c r="AM270" s="52" t="e">
        <f t="shared" si="97"/>
        <v>#DIV/0!</v>
      </c>
      <c r="AN270" s="61" t="e">
        <f t="shared" si="98"/>
        <v>#DIV/0!</v>
      </c>
      <c r="AO270" s="59">
        <v>0.36848065384615392</v>
      </c>
      <c r="AP270" s="59">
        <v>0.33386605128205121</v>
      </c>
      <c r="AQ270">
        <f t="shared" si="99"/>
        <v>1730730128.2051351</v>
      </c>
      <c r="BK270" s="75"/>
      <c r="BL270" s="75"/>
      <c r="BM270" s="75"/>
      <c r="BN270" s="75"/>
      <c r="BO270" s="75"/>
      <c r="BP270" s="75"/>
      <c r="BQ270" s="80"/>
      <c r="BR270" s="75"/>
      <c r="BS270" s="75"/>
      <c r="BT270" s="75"/>
      <c r="BU270" s="75">
        <v>1</v>
      </c>
      <c r="BV270" s="75">
        <v>0</v>
      </c>
      <c r="BW270" s="75">
        <v>19.635184210526301</v>
      </c>
      <c r="BX270" s="75">
        <v>7290.0870000000004</v>
      </c>
      <c r="BY270" s="75">
        <v>10990.1</v>
      </c>
      <c r="BZ270" s="75"/>
      <c r="CA270" s="76">
        <f t="shared" si="110"/>
        <v>1.3216215565537572</v>
      </c>
      <c r="CB270" s="75"/>
    </row>
    <row r="271" spans="1:83" x14ac:dyDescent="0.25">
      <c r="A271">
        <v>1</v>
      </c>
      <c r="C271">
        <v>0.5</v>
      </c>
      <c r="D271">
        <f>1/C271</f>
        <v>2</v>
      </c>
      <c r="E271">
        <v>2633055000.000001</v>
      </c>
      <c r="K271">
        <v>39.89190140594399</v>
      </c>
      <c r="Q271">
        <f t="shared" ref="Q271:Q277" si="112">AVERAGE(E271:J271)</f>
        <v>2633055000.000001</v>
      </c>
      <c r="R271" s="79">
        <f t="shared" ref="R271:R277" si="113">AVERAGE(K271:P271)</f>
        <v>39.89190140594399</v>
      </c>
      <c r="S271" s="44">
        <f t="shared" ref="S271:S277" si="114">R271*$BE$227/(0.5*Q271*($BE$232^2)*SQRT(PI()/2/$BE$229/$BE$231))*2/$BH$227*10^20</f>
        <v>1.7929560819457535</v>
      </c>
      <c r="U271">
        <v>7.3845154312864911E-6</v>
      </c>
      <c r="V271">
        <v>6.6812282473544445E-6</v>
      </c>
      <c r="W271">
        <f t="shared" si="102"/>
        <v>3516435919.660233</v>
      </c>
      <c r="X271" s="12">
        <f t="shared" si="103"/>
        <v>1.3425388900030992</v>
      </c>
      <c r="Y271">
        <v>2924017101.7101669</v>
      </c>
      <c r="Z271">
        <v>3001466096.6096559</v>
      </c>
      <c r="AA271">
        <v>3010386219.0218959</v>
      </c>
      <c r="AK271">
        <f t="shared" si="111"/>
        <v>2978623139.1139064</v>
      </c>
      <c r="AL271" t="e">
        <f t="shared" si="104"/>
        <v>#DIV/0!</v>
      </c>
      <c r="AM271" s="52" t="e">
        <f t="shared" si="97"/>
        <v>#DIV/0!</v>
      </c>
      <c r="AN271" s="12" t="e">
        <f t="shared" si="98"/>
        <v>#DIV/0!</v>
      </c>
      <c r="AQ271">
        <f t="shared" si="99"/>
        <v>0</v>
      </c>
      <c r="BK271" s="75"/>
      <c r="BL271" s="75"/>
      <c r="BM271" s="75"/>
      <c r="BN271" s="75"/>
      <c r="BO271" s="75"/>
      <c r="BP271" s="75"/>
      <c r="BQ271" s="80"/>
      <c r="BR271" s="75"/>
      <c r="BS271" s="75"/>
      <c r="BT271" s="75"/>
      <c r="BU271" s="75">
        <v>2</v>
      </c>
      <c r="BV271" s="75">
        <v>1</v>
      </c>
      <c r="BW271" s="75">
        <v>38.701382140243901</v>
      </c>
      <c r="BX271" s="75">
        <v>2930.02</v>
      </c>
      <c r="BY271" s="75">
        <v>4630.0349999999999</v>
      </c>
      <c r="BZ271" s="75"/>
      <c r="CA271" s="76">
        <f t="shared" si="110"/>
        <v>1.3024726520658383</v>
      </c>
      <c r="CB271" s="75"/>
    </row>
    <row r="272" spans="1:83" x14ac:dyDescent="0.25">
      <c r="A272">
        <v>2</v>
      </c>
      <c r="C272">
        <v>0.33</v>
      </c>
      <c r="D272">
        <f>1/C272</f>
        <v>3.0303030303030303</v>
      </c>
      <c r="E272">
        <v>3511584999.9999838</v>
      </c>
      <c r="F272">
        <v>3624094999.9999938</v>
      </c>
      <c r="G272">
        <v>3754749999.9999847</v>
      </c>
      <c r="K272">
        <v>55.696155178775314</v>
      </c>
      <c r="L272">
        <v>59.971246324863166</v>
      </c>
      <c r="M272">
        <v>57.30107966030306</v>
      </c>
      <c r="Q272">
        <f t="shared" si="112"/>
        <v>3630143333.3333206</v>
      </c>
      <c r="R272" s="79">
        <f t="shared" si="113"/>
        <v>57.656160387980513</v>
      </c>
      <c r="S272" s="44">
        <f t="shared" si="114"/>
        <v>1.8796058569737273</v>
      </c>
      <c r="U272">
        <v>1.1188659744373474E-5</v>
      </c>
      <c r="V272">
        <v>1.0123073102052189E-5</v>
      </c>
      <c r="W272">
        <f t="shared" si="102"/>
        <v>5327933211.6064234</v>
      </c>
      <c r="X272" s="12">
        <f>R272*$BE$227/(0.5*W272*($BE$232^2)*SQRT(PI()/2/$BE$229/$BE$231))*2/$BH$227*10^20</f>
        <v>1.2806539421559615</v>
      </c>
      <c r="Y272">
        <v>4258837758.1758108</v>
      </c>
      <c r="Z272">
        <v>4007596774.0774035</v>
      </c>
      <c r="AA272">
        <v>4472999135.9135866</v>
      </c>
      <c r="AB272">
        <v>4043971884.7884784</v>
      </c>
      <c r="AK272">
        <f t="shared" si="111"/>
        <v>4195851388.2388201</v>
      </c>
      <c r="AL272" t="e">
        <f t="shared" si="104"/>
        <v>#DIV/0!</v>
      </c>
      <c r="AM272" s="52" t="e">
        <f t="shared" si="97"/>
        <v>#DIV/0!</v>
      </c>
      <c r="AN272" s="12" t="e">
        <f t="shared" si="98"/>
        <v>#DIV/0!</v>
      </c>
      <c r="AQ272">
        <f t="shared" si="99"/>
        <v>0</v>
      </c>
      <c r="BK272" s="75"/>
      <c r="BL272" s="75"/>
      <c r="BM272" s="75"/>
      <c r="BN272" s="75"/>
      <c r="BO272" s="75"/>
      <c r="BP272" s="75"/>
      <c r="BQ272" s="80"/>
      <c r="BR272" s="75"/>
      <c r="BS272" s="75"/>
      <c r="BT272" s="75"/>
      <c r="BU272" s="75">
        <v>3.0303030303030303</v>
      </c>
      <c r="BV272" s="75">
        <v>2</v>
      </c>
      <c r="BW272" s="75">
        <v>58.558815789473698</v>
      </c>
      <c r="BX272" s="75">
        <v>1730.0060000000001</v>
      </c>
      <c r="BY272" s="75">
        <v>2570.0100000000002</v>
      </c>
      <c r="BZ272" s="75"/>
      <c r="CA272" s="76">
        <f t="shared" si="110"/>
        <v>1.3007036504707665</v>
      </c>
      <c r="CB272" s="75"/>
    </row>
    <row r="273" spans="1:80" x14ac:dyDescent="0.25">
      <c r="A273">
        <v>3</v>
      </c>
      <c r="C273">
        <v>0.25</v>
      </c>
      <c r="D273">
        <f>1/C273</f>
        <v>4</v>
      </c>
      <c r="Q273" t="e">
        <f t="shared" si="112"/>
        <v>#DIV/0!</v>
      </c>
      <c r="R273" t="e">
        <f t="shared" si="113"/>
        <v>#DIV/0!</v>
      </c>
      <c r="S273" s="44" t="e">
        <f t="shared" si="114"/>
        <v>#DIV/0!</v>
      </c>
      <c r="U273">
        <v>1.4769030862572982E-5</v>
      </c>
      <c r="V273">
        <v>1.3362456494708889E-5</v>
      </c>
      <c r="W273">
        <f t="shared" si="102"/>
        <v>7032871839.320466</v>
      </c>
      <c r="X273" s="12"/>
      <c r="Y273" s="12">
        <v>5813578177.0176945</v>
      </c>
      <c r="Z273">
        <v>6058300900.0899982</v>
      </c>
      <c r="AA273">
        <v>6274659933.9933929</v>
      </c>
      <c r="AB273">
        <v>6115205662.166214</v>
      </c>
      <c r="AE273" s="12"/>
      <c r="AK273">
        <f>AVERAGE(Y273:AD273)</f>
        <v>6065436168.3168249</v>
      </c>
      <c r="AL273" t="e">
        <f t="shared" si="104"/>
        <v>#DIV/0!</v>
      </c>
      <c r="AM273" s="52" t="e">
        <f t="shared" si="97"/>
        <v>#DIV/0!</v>
      </c>
      <c r="AN273" s="12" t="e">
        <f t="shared" si="98"/>
        <v>#DIV/0!</v>
      </c>
      <c r="AQ273">
        <f t="shared" si="99"/>
        <v>0</v>
      </c>
      <c r="BK273" s="75"/>
      <c r="BL273" s="75"/>
      <c r="BM273" s="75"/>
      <c r="BN273" s="75"/>
      <c r="BO273" s="75"/>
      <c r="BP273" s="75"/>
      <c r="BQ273" s="80"/>
      <c r="BR273" s="75"/>
      <c r="BS273" s="75"/>
      <c r="BT273" s="75"/>
      <c r="BU273" s="75"/>
      <c r="BV273" s="75"/>
      <c r="BW273" s="75"/>
      <c r="BX273" s="75"/>
      <c r="BY273" s="75"/>
      <c r="BZ273" s="75"/>
      <c r="CA273" s="75"/>
      <c r="CB273" s="75"/>
    </row>
    <row r="274" spans="1:80" x14ac:dyDescent="0.25">
      <c r="A274">
        <v>4</v>
      </c>
      <c r="Q274" t="e">
        <f t="shared" si="112"/>
        <v>#DIV/0!</v>
      </c>
      <c r="R274" t="e">
        <f t="shared" si="113"/>
        <v>#DIV/0!</v>
      </c>
      <c r="S274" s="44" t="e">
        <f t="shared" si="114"/>
        <v>#DIV/0!</v>
      </c>
      <c r="X274" s="12"/>
      <c r="AQ274">
        <f t="shared" si="99"/>
        <v>0</v>
      </c>
      <c r="BK274" s="75"/>
      <c r="BL274" s="75"/>
      <c r="BM274" s="75"/>
      <c r="BN274" s="75"/>
      <c r="BO274" s="75"/>
      <c r="BP274" s="75"/>
      <c r="BQ274" s="80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</row>
    <row r="275" spans="1:80" x14ac:dyDescent="0.25">
      <c r="A275">
        <v>5</v>
      </c>
      <c r="Q275" t="e">
        <f t="shared" si="112"/>
        <v>#DIV/0!</v>
      </c>
      <c r="R275" t="e">
        <f t="shared" si="113"/>
        <v>#DIV/0!</v>
      </c>
      <c r="S275" s="44" t="e">
        <f t="shared" si="114"/>
        <v>#DIV/0!</v>
      </c>
      <c r="X275" s="12"/>
      <c r="AQ275">
        <f t="shared" si="99"/>
        <v>0</v>
      </c>
      <c r="BK275" s="75"/>
      <c r="BL275" s="75"/>
      <c r="BM275" s="75"/>
      <c r="BN275" s="75"/>
      <c r="BO275" s="75"/>
      <c r="BP275" s="75"/>
      <c r="BQ275" s="80"/>
      <c r="BR275" s="75"/>
      <c r="BS275" s="75"/>
      <c r="BT275" s="75"/>
      <c r="BU275" s="75"/>
      <c r="BV275" s="75"/>
      <c r="BW275" s="75"/>
      <c r="BX275" s="75"/>
      <c r="BY275" s="75"/>
      <c r="BZ275" s="75"/>
      <c r="CA275" s="75"/>
      <c r="CB275" s="75"/>
    </row>
    <row r="276" spans="1:80" x14ac:dyDescent="0.25">
      <c r="A276">
        <v>6</v>
      </c>
      <c r="Q276" t="e">
        <f t="shared" si="112"/>
        <v>#DIV/0!</v>
      </c>
      <c r="R276" t="e">
        <f t="shared" si="113"/>
        <v>#DIV/0!</v>
      </c>
      <c r="S276" s="44" t="e">
        <f t="shared" si="114"/>
        <v>#DIV/0!</v>
      </c>
      <c r="X276" s="12"/>
      <c r="AQ276">
        <f t="shared" si="99"/>
        <v>0</v>
      </c>
      <c r="BK276" s="75"/>
      <c r="BL276" s="75"/>
      <c r="BM276" s="75"/>
      <c r="BN276" s="75"/>
      <c r="BO276" s="75"/>
      <c r="BP276" s="75"/>
      <c r="BQ276" s="80"/>
      <c r="BR276" s="75"/>
      <c r="BS276" s="75"/>
      <c r="BT276" s="75"/>
      <c r="BU276" s="75"/>
      <c r="BV276" s="75"/>
      <c r="BW276" s="75"/>
      <c r="BX276" s="75"/>
      <c r="BY276" s="75"/>
      <c r="BZ276" s="75"/>
      <c r="CA276" s="75"/>
      <c r="CB276" s="75"/>
    </row>
    <row r="277" spans="1:80" x14ac:dyDescent="0.25">
      <c r="A277">
        <v>7</v>
      </c>
      <c r="Q277" t="e">
        <f t="shared" si="112"/>
        <v>#DIV/0!</v>
      </c>
      <c r="R277" t="e">
        <f t="shared" si="113"/>
        <v>#DIV/0!</v>
      </c>
      <c r="S277" s="44" t="e">
        <f t="shared" si="114"/>
        <v>#DIV/0!</v>
      </c>
      <c r="X277" s="12"/>
      <c r="AQ277">
        <f t="shared" si="99"/>
        <v>0</v>
      </c>
      <c r="BK277" s="75"/>
      <c r="BL277" s="75"/>
      <c r="BM277" s="75"/>
      <c r="BN277" s="75"/>
      <c r="BO277" s="75"/>
      <c r="BP277" s="75"/>
      <c r="BQ277" s="80"/>
      <c r="BR277" s="75"/>
      <c r="BS277" s="75"/>
      <c r="BT277" s="75"/>
      <c r="BU277" s="75"/>
      <c r="BV277" s="75"/>
      <c r="BW277" s="75"/>
      <c r="BX277" s="75"/>
      <c r="BY277" s="75"/>
      <c r="BZ277" s="75"/>
      <c r="CA277" s="75"/>
      <c r="CB277" s="75"/>
    </row>
    <row r="278" spans="1:80" s="55" customFormat="1" x14ac:dyDescent="0.25">
      <c r="C278" s="55" t="s">
        <v>11</v>
      </c>
      <c r="S278" s="56"/>
      <c r="X278" s="57"/>
      <c r="Y278" s="35" t="s">
        <v>210</v>
      </c>
      <c r="Z278" s="35"/>
      <c r="AA278" s="35"/>
      <c r="AB278" s="35"/>
      <c r="AC278" s="35"/>
      <c r="AD278" s="35"/>
      <c r="AE278" s="9" t="s">
        <v>204</v>
      </c>
      <c r="AF278" s="9"/>
      <c r="AG278" s="9"/>
      <c r="AH278" s="9"/>
      <c r="AI278" s="9"/>
      <c r="AJ278" s="9"/>
      <c r="AK278" s="48" t="s">
        <v>26</v>
      </c>
      <c r="AL278" s="48" t="s">
        <v>200</v>
      </c>
      <c r="AM278" s="48" t="s">
        <v>181</v>
      </c>
      <c r="AN278" s="51" t="s">
        <v>206</v>
      </c>
      <c r="AO278" s="63" t="s">
        <v>95</v>
      </c>
      <c r="AP278" s="63" t="s">
        <v>96</v>
      </c>
      <c r="AQ278" t="s">
        <v>219</v>
      </c>
      <c r="AR278" s="57"/>
      <c r="BA278"/>
      <c r="BB278"/>
      <c r="BK278" s="75"/>
      <c r="BL278" s="78"/>
      <c r="BM278" s="78"/>
      <c r="BN278" s="78"/>
      <c r="BO278" s="78"/>
      <c r="BP278" s="78"/>
      <c r="BQ278" s="81" t="s">
        <v>139</v>
      </c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5"/>
    </row>
    <row r="279" spans="1:80" x14ac:dyDescent="0.25">
      <c r="A279">
        <v>0</v>
      </c>
      <c r="C279">
        <f>C262/25</f>
        <v>4</v>
      </c>
      <c r="D279">
        <f t="shared" ref="D279:D286" si="115">1/C279</f>
        <v>0.25</v>
      </c>
      <c r="S279" s="54"/>
      <c r="U279">
        <v>3.6922577156432473E-8</v>
      </c>
      <c r="V279">
        <v>3.3406141236772228E-8</v>
      </c>
      <c r="W279">
        <f>(U279-V279)/20000*10^20</f>
        <v>17582179.598301224</v>
      </c>
      <c r="X279" s="12"/>
      <c r="AE279" s="62">
        <v>0.21410000000000001</v>
      </c>
      <c r="AK279" t="e">
        <f>AVERAGE(Y279:AD279)</f>
        <v>#DIV/0!</v>
      </c>
      <c r="AL279">
        <f>AVERAGE(AE279:AJ279)</f>
        <v>0.21410000000000001</v>
      </c>
      <c r="AM279" s="52"/>
      <c r="AN279" s="12">
        <f t="shared" ref="AN279:AN284" si="116">AL279*$BE$227/(0.5*W279*($BE$232^2)*SQRT(PI()/2/$BE$229/$BE$231))*2/$BH$227*10^20</f>
        <v>1.4410823561638184</v>
      </c>
      <c r="AO279">
        <v>3.7043472222222226E-3</v>
      </c>
      <c r="AP279">
        <v>3.3438333333333336E-3</v>
      </c>
      <c r="AQ279">
        <f t="shared" si="99"/>
        <v>18025694.444444448</v>
      </c>
      <c r="AR279" s="12">
        <f t="shared" ref="AR279:AR285" si="117">AL279*$BE$227/(0.5*AQ279*($BE$232^2)*SQRT(PI()/2/$BE$229/$BE$231))*2/$BH$227*10^20</f>
        <v>1.4056251136457256</v>
      </c>
      <c r="AS279">
        <v>4.0270468213346184</v>
      </c>
      <c r="AT279">
        <f t="shared" ref="AT279:AT286" si="118">1/AS279</f>
        <v>0.24832092706301992</v>
      </c>
      <c r="BA279">
        <f t="shared" si="106"/>
        <v>0.24832092706301992</v>
      </c>
      <c r="BB279">
        <f t="shared" si="107"/>
        <v>1.4056251136457256</v>
      </c>
      <c r="BK279" s="75">
        <v>0</v>
      </c>
      <c r="BL279" s="76">
        <f>BM279*$BE$227/(0.5*AQ279*($BE$232^2)*SQRT(PI()/2/$BE$229/$BE$231))*2/$BH$227*10^20</f>
        <v>1.3713557009244142</v>
      </c>
      <c r="BM279" s="83">
        <v>0.208880200501254</v>
      </c>
      <c r="BN279" s="75">
        <v>1218465</v>
      </c>
      <c r="BO279" s="75">
        <v>2374467</v>
      </c>
      <c r="BP279" s="75">
        <f>BO279-BN279</f>
        <v>1156002</v>
      </c>
      <c r="BQ279" s="82">
        <f>BP279/$BS$259/$BU$259*BR279*$BU$258</f>
        <v>25.105415334785707</v>
      </c>
      <c r="BR279" s="75">
        <v>0.24832092706301992</v>
      </c>
      <c r="BS279" s="75"/>
      <c r="BT279" s="75"/>
      <c r="BU279" s="75"/>
      <c r="BV279" s="75"/>
      <c r="BW279" s="75"/>
      <c r="BX279" s="75"/>
      <c r="BY279" s="75"/>
      <c r="BZ279" s="75"/>
      <c r="CA279" s="75"/>
      <c r="CB279" s="75"/>
    </row>
    <row r="280" spans="1:80" x14ac:dyDescent="0.25">
      <c r="A280">
        <v>1</v>
      </c>
      <c r="C280">
        <f t="shared" ref="C280:C286" si="119">C263/25</f>
        <v>2.6</v>
      </c>
      <c r="D280">
        <f t="shared" si="115"/>
        <v>0.38461538461538458</v>
      </c>
      <c r="S280" s="54"/>
      <c r="U280">
        <v>5.6803964856049949E-8</v>
      </c>
      <c r="V280">
        <v>5.1394063441188043E-8</v>
      </c>
      <c r="W280">
        <f t="shared" ref="W280:W286" si="120">(U280-V280)/20000*10^20</f>
        <v>27049507.074309532</v>
      </c>
      <c r="X280" s="12"/>
      <c r="AE280" s="62">
        <v>0.32029999999999997</v>
      </c>
      <c r="AK280" t="e">
        <f t="shared" ref="AK280:AK286" si="121">AVERAGE(Y280:AD280)</f>
        <v>#DIV/0!</v>
      </c>
      <c r="AL280">
        <f t="shared" ref="AL280:AL286" si="122">AVERAGE(AE280:AJ280)</f>
        <v>0.32029999999999997</v>
      </c>
      <c r="AM280" s="52"/>
      <c r="AN280" s="12">
        <f t="shared" si="116"/>
        <v>1.4013364836129223</v>
      </c>
      <c r="AO280">
        <v>5.6706249999999986E-3</v>
      </c>
      <c r="AP280">
        <v>5.1377916666666681E-3</v>
      </c>
      <c r="AQ280">
        <f t="shared" si="99"/>
        <v>26641666.666666523</v>
      </c>
      <c r="AR280" s="12">
        <f t="shared" si="117"/>
        <v>1.4227886566271877</v>
      </c>
      <c r="AS280">
        <v>2.6207111576155322</v>
      </c>
      <c r="AT280">
        <f t="shared" si="118"/>
        <v>0.38157581658478351</v>
      </c>
      <c r="BA280">
        <f t="shared" si="106"/>
        <v>0.38157581658478351</v>
      </c>
      <c r="BB280">
        <f t="shared" si="107"/>
        <v>1.4227886566271877</v>
      </c>
      <c r="BK280" s="75">
        <v>1</v>
      </c>
      <c r="BL280" s="76">
        <f t="shared" ref="BL280:BL286" si="123">BM280*$BE$227/(0.5*AQ280*($BE$232^2)*SQRT(PI()/2/$BE$229/$BE$231))*2/$BH$227*10^20</f>
        <v>1.3919982577290961</v>
      </c>
      <c r="BM280" s="83">
        <v>0.31336842606516302</v>
      </c>
      <c r="BN280" s="75">
        <v>709323.4</v>
      </c>
      <c r="BO280" s="75">
        <v>1349324</v>
      </c>
      <c r="BP280" s="75">
        <f t="shared" ref="BP280:BP286" si="124">BO280-BN280</f>
        <v>640000.6</v>
      </c>
      <c r="BQ280" s="82">
        <f t="shared" ref="BQ280:BQ286" si="125">BP280/$BS$259/$BU$259*BR280*$BU$258</f>
        <v>21.357810438647995</v>
      </c>
      <c r="BR280" s="75">
        <v>0.38157581658478351</v>
      </c>
      <c r="BS280" s="75"/>
      <c r="BT280" s="75"/>
      <c r="BU280" s="75"/>
      <c r="BV280" s="75"/>
      <c r="BW280" s="75"/>
      <c r="BX280" s="75"/>
      <c r="BY280" s="75"/>
      <c r="BZ280" s="75"/>
      <c r="CA280" s="75"/>
      <c r="CB280" s="75"/>
    </row>
    <row r="281" spans="1:80" x14ac:dyDescent="0.25">
      <c r="A281">
        <v>2</v>
      </c>
      <c r="C281">
        <f t="shared" si="119"/>
        <v>1.6</v>
      </c>
      <c r="D281">
        <f t="shared" si="115"/>
        <v>0.625</v>
      </c>
      <c r="S281" s="54"/>
      <c r="U281">
        <v>9.230644289108117E-8</v>
      </c>
      <c r="V281">
        <v>8.3515353091930577E-8</v>
      </c>
      <c r="W281">
        <f t="shared" si="120"/>
        <v>43955448.99575296</v>
      </c>
      <c r="X281" s="12"/>
      <c r="Y281">
        <v>35831977.197719708</v>
      </c>
      <c r="AE281" s="62">
        <v>0.49859999999999999</v>
      </c>
      <c r="AK281">
        <f t="shared" si="121"/>
        <v>35831977.197719708</v>
      </c>
      <c r="AL281">
        <f t="shared" si="122"/>
        <v>0.49859999999999999</v>
      </c>
      <c r="AM281" s="52">
        <f t="shared" ref="AM281:AM286" si="126">AL281*$BE$227/(0.5*AK281*($BE$232^2)*SQRT(PI()/2/$BE$229/$BE$231))*2/$BH$227*10^20</f>
        <v>1.6467449743988567</v>
      </c>
      <c r="AN281" s="12">
        <f t="shared" si="116"/>
        <v>1.3424075904405073</v>
      </c>
      <c r="AO281">
        <v>9.1907066666666645E-3</v>
      </c>
      <c r="AP281">
        <v>8.3302266666666659E-3</v>
      </c>
      <c r="AQ281">
        <f t="shared" si="99"/>
        <v>43023999.999999925</v>
      </c>
      <c r="AR281" s="12">
        <f t="shared" si="117"/>
        <v>1.3714700718928843</v>
      </c>
      <c r="AS281">
        <v>1.6015767054587593</v>
      </c>
      <c r="AT281">
        <f t="shared" si="118"/>
        <v>0.6243847057662828</v>
      </c>
      <c r="BA281">
        <f t="shared" si="106"/>
        <v>0.6243847057662828</v>
      </c>
      <c r="BB281">
        <f t="shared" si="107"/>
        <v>1.3714700718928843</v>
      </c>
      <c r="BK281" s="75">
        <v>2</v>
      </c>
      <c r="BL281" s="76">
        <f t="shared" si="123"/>
        <v>1.4092577704358298</v>
      </c>
      <c r="BM281" s="83">
        <v>0.51233777443608997</v>
      </c>
      <c r="BN281" s="75">
        <v>216800.7</v>
      </c>
      <c r="BO281" s="75">
        <v>516401.5</v>
      </c>
      <c r="BP281" s="75">
        <f t="shared" si="124"/>
        <v>299600.8</v>
      </c>
      <c r="BQ281" s="82">
        <f t="shared" si="125"/>
        <v>16.360279894818444</v>
      </c>
      <c r="BR281" s="75">
        <v>0.6243847057662828</v>
      </c>
      <c r="BS281" s="75"/>
      <c r="BT281" s="75"/>
      <c r="BU281" s="75"/>
      <c r="BV281" s="75"/>
      <c r="BW281" s="75"/>
      <c r="BX281" s="75"/>
      <c r="BY281" s="75"/>
      <c r="BZ281" s="75"/>
      <c r="CA281" s="75"/>
      <c r="CB281" s="75"/>
    </row>
    <row r="282" spans="1:80" x14ac:dyDescent="0.25">
      <c r="A282">
        <v>3</v>
      </c>
      <c r="C282">
        <f t="shared" si="119"/>
        <v>1</v>
      </c>
      <c r="D282">
        <f t="shared" si="115"/>
        <v>1</v>
      </c>
      <c r="S282" s="54"/>
      <c r="U282">
        <v>1.4769030862572989E-7</v>
      </c>
      <c r="V282">
        <v>1.3362456494708891E-7</v>
      </c>
      <c r="W282">
        <f t="shared" si="120"/>
        <v>70328718.393204898</v>
      </c>
      <c r="X282" s="12"/>
      <c r="Y282">
        <v>55535213.921392061</v>
      </c>
      <c r="AE282" s="62">
        <v>0.80489999999999995</v>
      </c>
      <c r="AK282">
        <f t="shared" si="121"/>
        <v>55535213.921392061</v>
      </c>
      <c r="AL282">
        <f t="shared" si="122"/>
        <v>0.80489999999999995</v>
      </c>
      <c r="AM282" s="52">
        <f t="shared" si="126"/>
        <v>1.7152140436627681</v>
      </c>
      <c r="AN282" s="12">
        <f t="shared" si="116"/>
        <v>1.3544222191455599</v>
      </c>
      <c r="AO282">
        <v>1.4608653333333338E-2</v>
      </c>
      <c r="AP282">
        <v>1.3253186666666663E-2</v>
      </c>
      <c r="AQ282">
        <f t="shared" si="99"/>
        <v>67773333.333333731</v>
      </c>
      <c r="AR282" s="12">
        <f t="shared" si="117"/>
        <v>1.4054905395797832</v>
      </c>
      <c r="AS282">
        <v>1.0103514355011423</v>
      </c>
      <c r="AT282">
        <f t="shared" si="118"/>
        <v>0.98975461890049388</v>
      </c>
      <c r="BA282">
        <f t="shared" si="106"/>
        <v>0.98975461890049388</v>
      </c>
      <c r="BB282">
        <f t="shared" si="107"/>
        <v>1.4054905395797832</v>
      </c>
      <c r="BK282" s="75">
        <v>3</v>
      </c>
      <c r="BL282" s="76">
        <f t="shared" si="123"/>
        <v>1.3979965303994972</v>
      </c>
      <c r="BM282" s="83">
        <v>0.80060831121281295</v>
      </c>
      <c r="BN282" s="75">
        <v>106620.4</v>
      </c>
      <c r="BO282" s="75">
        <v>257820.7</v>
      </c>
      <c r="BP282" s="75">
        <f t="shared" si="124"/>
        <v>151200.30000000002</v>
      </c>
      <c r="BQ282" s="82">
        <f t="shared" si="125"/>
        <v>13.088072564184452</v>
      </c>
      <c r="BR282" s="75">
        <v>0.98975461890049388</v>
      </c>
      <c r="BS282" s="75"/>
      <c r="BT282" s="75"/>
      <c r="BU282" s="75"/>
      <c r="BV282" s="75"/>
      <c r="BW282" s="75"/>
      <c r="BX282" s="75"/>
      <c r="BY282" s="75"/>
      <c r="BZ282" s="75"/>
      <c r="CA282" s="75"/>
      <c r="CB282" s="75"/>
    </row>
    <row r="283" spans="1:80" x14ac:dyDescent="0.25">
      <c r="A283">
        <v>4</v>
      </c>
      <c r="C283">
        <f t="shared" si="119"/>
        <v>0.6</v>
      </c>
      <c r="D283">
        <f t="shared" si="115"/>
        <v>1.6666666666666667</v>
      </c>
      <c r="S283" s="54"/>
      <c r="U283">
        <v>2.4615051437621644E-7</v>
      </c>
      <c r="V283">
        <v>2.2270760824514819E-7</v>
      </c>
      <c r="W283">
        <f t="shared" si="120"/>
        <v>117214530.65534124</v>
      </c>
      <c r="X283" s="12"/>
      <c r="Y283">
        <v>95583638.7638762</v>
      </c>
      <c r="AE283" s="62">
        <v>1.2848999999999999</v>
      </c>
      <c r="AK283">
        <f t="shared" si="121"/>
        <v>95583638.7638762</v>
      </c>
      <c r="AL283">
        <f t="shared" si="122"/>
        <v>1.2848999999999999</v>
      </c>
      <c r="AM283" s="52">
        <f t="shared" si="126"/>
        <v>1.590855065409202</v>
      </c>
      <c r="AN283" s="12">
        <f t="shared" si="116"/>
        <v>1.2972770103467268</v>
      </c>
      <c r="AO283">
        <v>2.4220986111111113E-2</v>
      </c>
      <c r="AP283">
        <v>2.2155833333333329E-2</v>
      </c>
      <c r="AQ283">
        <f t="shared" si="99"/>
        <v>103257638.88888919</v>
      </c>
      <c r="AR283" s="12">
        <f t="shared" si="117"/>
        <v>1.4726243746613297</v>
      </c>
      <c r="AS283">
        <v>0.60553490583966474</v>
      </c>
      <c r="AT283">
        <f t="shared" si="118"/>
        <v>1.651432461376195</v>
      </c>
      <c r="BA283">
        <f t="shared" si="106"/>
        <v>1.651432461376195</v>
      </c>
      <c r="BB283">
        <f t="shared" si="107"/>
        <v>1.4726243746613297</v>
      </c>
      <c r="BK283" s="75">
        <v>4</v>
      </c>
      <c r="BL283" s="76">
        <f t="shared" si="123"/>
        <v>1.469762079450889</v>
      </c>
      <c r="BM283" s="83">
        <v>1.2824025789473701</v>
      </c>
      <c r="BN283" s="75">
        <v>79520.22</v>
      </c>
      <c r="BO283" s="75">
        <v>179520.4</v>
      </c>
      <c r="BP283" s="75">
        <f t="shared" si="124"/>
        <v>100000.18</v>
      </c>
      <c r="BQ283" s="82">
        <f t="shared" si="125"/>
        <v>14.442989747416727</v>
      </c>
      <c r="BR283" s="75">
        <v>1.651432461376195</v>
      </c>
      <c r="BS283" s="75"/>
      <c r="BT283" s="75"/>
      <c r="BU283" s="75"/>
      <c r="BV283" s="75"/>
      <c r="BW283" s="75"/>
      <c r="BX283" s="75"/>
      <c r="BY283" s="75"/>
      <c r="BZ283" s="75"/>
      <c r="CA283" s="75"/>
      <c r="CB283" s="75"/>
    </row>
    <row r="284" spans="1:80" x14ac:dyDescent="0.25">
      <c r="A284">
        <v>5</v>
      </c>
      <c r="C284">
        <f t="shared" si="119"/>
        <v>0.4</v>
      </c>
      <c r="D284">
        <f t="shared" si="115"/>
        <v>2.5</v>
      </c>
      <c r="S284" s="54"/>
      <c r="U284">
        <v>3.6922577156432468E-7</v>
      </c>
      <c r="V284">
        <v>3.3406141236772231E-7</v>
      </c>
      <c r="W284">
        <f t="shared" si="120"/>
        <v>175821795.98301184</v>
      </c>
      <c r="X284" s="12"/>
      <c r="Y284">
        <v>148952234.02340198</v>
      </c>
      <c r="AE284" s="62">
        <v>2.1631999999999998</v>
      </c>
      <c r="AK284">
        <f t="shared" si="121"/>
        <v>148952234.02340198</v>
      </c>
      <c r="AL284">
        <f t="shared" si="122"/>
        <v>2.1631999999999998</v>
      </c>
      <c r="AM284" s="52">
        <f t="shared" si="126"/>
        <v>1.7186779240857111</v>
      </c>
      <c r="AN284" s="12">
        <f t="shared" si="116"/>
        <v>1.4560249195953197</v>
      </c>
      <c r="AO284">
        <v>3.6423680555555567E-2</v>
      </c>
      <c r="AP284">
        <v>3.3145597222222226E-2</v>
      </c>
      <c r="AQ284">
        <f t="shared" si="99"/>
        <v>163904166.66666704</v>
      </c>
      <c r="AR284" s="12">
        <f t="shared" si="117"/>
        <v>1.5618938893719538</v>
      </c>
      <c r="AS284">
        <v>0.40441592713345659</v>
      </c>
      <c r="AT284">
        <f t="shared" si="118"/>
        <v>2.4727018223246229</v>
      </c>
      <c r="BA284">
        <f t="shared" si="106"/>
        <v>2.4727018223246229</v>
      </c>
      <c r="BB284">
        <f t="shared" si="107"/>
        <v>1.5618938893719538</v>
      </c>
      <c r="BK284" s="75">
        <v>5</v>
      </c>
      <c r="BL284" s="76">
        <f t="shared" si="123"/>
        <v>1.6109716176642057</v>
      </c>
      <c r="BM284" s="83">
        <v>2.2311719298245598</v>
      </c>
      <c r="BN284" s="75">
        <v>49850.13</v>
      </c>
      <c r="BO284" s="75">
        <v>106850.2</v>
      </c>
      <c r="BP284" s="75">
        <f t="shared" si="124"/>
        <v>57000.07</v>
      </c>
      <c r="BQ284" s="82">
        <f t="shared" si="125"/>
        <v>12.32658123327429</v>
      </c>
      <c r="BR284" s="75">
        <v>2.4727018223246229</v>
      </c>
      <c r="BS284" s="75"/>
      <c r="BT284" s="75"/>
      <c r="BU284" s="75"/>
      <c r="BV284" s="75"/>
      <c r="BW284" s="75"/>
      <c r="BX284" s="75"/>
      <c r="BY284" s="75"/>
      <c r="BZ284" s="75"/>
      <c r="CA284" s="75"/>
      <c r="CB284" s="75"/>
    </row>
    <row r="285" spans="1:80" x14ac:dyDescent="0.25">
      <c r="A285">
        <v>6</v>
      </c>
      <c r="C285">
        <f t="shared" si="119"/>
        <v>0.16</v>
      </c>
      <c r="D285">
        <f t="shared" si="115"/>
        <v>6.25</v>
      </c>
      <c r="S285" s="54"/>
      <c r="U285">
        <v>9.2306442891081138E-7</v>
      </c>
      <c r="V285">
        <v>8.3515353091930556E-7</v>
      </c>
      <c r="W285">
        <f t="shared" si="120"/>
        <v>439554489.95752913</v>
      </c>
      <c r="X285" s="12"/>
      <c r="Y285">
        <v>355849339.33393323</v>
      </c>
      <c r="AE285" s="62">
        <v>7.1378000000000004</v>
      </c>
      <c r="AK285">
        <f t="shared" si="121"/>
        <v>355849339.33393323</v>
      </c>
      <c r="AL285">
        <f t="shared" si="122"/>
        <v>7.1378000000000004</v>
      </c>
      <c r="AM285" s="52">
        <f t="shared" si="126"/>
        <v>2.3737941579892956</v>
      </c>
      <c r="AN285" s="12">
        <f>AL285*$BE$227/(0.5*W285*($BE$232^2)*SQRT(PI()/2/$BE$229/$BE$231))*2/$BH$227*10^20</f>
        <v>1.9217482749791948</v>
      </c>
      <c r="AO285">
        <v>8.9600986111111142E-2</v>
      </c>
      <c r="AP285">
        <v>8.1542472222222231E-2</v>
      </c>
      <c r="AQ285">
        <f t="shared" si="99"/>
        <v>402925694.44444549</v>
      </c>
      <c r="AR285" s="12">
        <f t="shared" si="117"/>
        <v>2.0964487856748204</v>
      </c>
      <c r="AS285">
        <v>0.16431875906193277</v>
      </c>
      <c r="AT285">
        <f t="shared" si="118"/>
        <v>6.0857324246411437</v>
      </c>
      <c r="BA285">
        <f t="shared" si="106"/>
        <v>6.0857324246411437</v>
      </c>
      <c r="BB285">
        <f t="shared" si="107"/>
        <v>2.0964487856748204</v>
      </c>
      <c r="BK285" s="75">
        <v>6</v>
      </c>
      <c r="BL285" s="76">
        <f t="shared" si="123"/>
        <v>2.0806070598599158</v>
      </c>
      <c r="BM285" s="83">
        <v>7.0838635187969903</v>
      </c>
      <c r="BN285" s="75">
        <v>14500.03</v>
      </c>
      <c r="BO285" s="75">
        <v>29880.06</v>
      </c>
      <c r="BP285" s="75">
        <f t="shared" si="124"/>
        <v>15380.03</v>
      </c>
      <c r="BQ285" s="82">
        <f t="shared" si="125"/>
        <v>8.1858831371486165</v>
      </c>
      <c r="BR285" s="75">
        <v>6.0857324246411437</v>
      </c>
      <c r="BS285" s="75"/>
      <c r="BT285" s="75"/>
      <c r="BU285" s="75"/>
      <c r="BV285" s="75"/>
      <c r="BW285" s="75"/>
      <c r="BX285" s="75"/>
      <c r="BY285" s="75"/>
      <c r="BZ285" s="75"/>
      <c r="CA285" s="75"/>
      <c r="CB285" s="75"/>
    </row>
    <row r="286" spans="1:80" x14ac:dyDescent="0.25">
      <c r="A286">
        <v>7</v>
      </c>
      <c r="C286">
        <f t="shared" si="119"/>
        <v>0.08</v>
      </c>
      <c r="D286">
        <f t="shared" si="115"/>
        <v>12.5</v>
      </c>
      <c r="U286">
        <v>1.8461288578216228E-6</v>
      </c>
      <c r="V286">
        <v>1.6703070618386111E-6</v>
      </c>
      <c r="W286">
        <f t="shared" si="120"/>
        <v>879108979.91505826</v>
      </c>
      <c r="X286" s="12"/>
      <c r="Y286">
        <v>650184906.09060884</v>
      </c>
      <c r="AE286" s="62">
        <v>18.277100000000001</v>
      </c>
      <c r="AK286">
        <f t="shared" si="121"/>
        <v>650184906.09060884</v>
      </c>
      <c r="AL286">
        <f t="shared" si="122"/>
        <v>18.277100000000001</v>
      </c>
      <c r="AM286" s="52">
        <f t="shared" si="126"/>
        <v>3.3267123496000881</v>
      </c>
      <c r="AN286" s="12">
        <f>AL286*$BE$227/(0.5*W286*($BE$232^2)*SQRT(PI()/2/$BE$229/$BE$231))*2/$BH$227*10^20</f>
        <v>2.460420955800263</v>
      </c>
      <c r="AO286">
        <v>0.1741940555555555</v>
      </c>
      <c r="AP286">
        <v>0.1594067083333334</v>
      </c>
      <c r="AQ286">
        <f>(AO286-AP286)/20000*10^15</f>
        <v>739367361.11110532</v>
      </c>
      <c r="AR286" s="12">
        <f>AL286*$BE$227/(0.5*AQ286*($BE$232^2)*SQRT(PI()/2/$BE$229/$BE$231))*2/$BH$227*10^20</f>
        <v>2.9254444683150811</v>
      </c>
      <c r="AS286">
        <v>8.4383346097368139E-2</v>
      </c>
      <c r="AT286">
        <f t="shared" si="118"/>
        <v>11.85067962161777</v>
      </c>
      <c r="BA286">
        <f t="shared" si="106"/>
        <v>11.85067962161777</v>
      </c>
      <c r="BB286">
        <f t="shared" si="107"/>
        <v>2.9254444683150811</v>
      </c>
      <c r="BK286" s="75">
        <v>7</v>
      </c>
      <c r="BL286" s="76">
        <f t="shared" si="123"/>
        <v>3.0389241291109141</v>
      </c>
      <c r="BM286" s="83">
        <v>18.986079141732301</v>
      </c>
      <c r="BN286" s="75">
        <v>6020.0119999999997</v>
      </c>
      <c r="BO286" s="75">
        <v>12140.02</v>
      </c>
      <c r="BP286" s="75">
        <f t="shared" si="124"/>
        <v>6120.0080000000007</v>
      </c>
      <c r="BQ286" s="82">
        <f t="shared" si="125"/>
        <v>6.3429421623116484</v>
      </c>
      <c r="BR286" s="75">
        <v>11.85067962161777</v>
      </c>
      <c r="BS286" s="75"/>
      <c r="BT286" s="75"/>
      <c r="BU286" s="75"/>
      <c r="BV286" s="75"/>
      <c r="BW286" s="75"/>
      <c r="BX286" s="75"/>
      <c r="BY286" s="75"/>
      <c r="BZ286" s="75"/>
      <c r="CA286" s="75"/>
      <c r="CB286" s="75"/>
    </row>
    <row r="287" spans="1:80" x14ac:dyDescent="0.25">
      <c r="X287" s="12"/>
      <c r="BK287" s="75"/>
      <c r="BL287" s="75"/>
      <c r="BM287" s="77"/>
      <c r="BN287" s="75"/>
      <c r="BO287" s="75"/>
      <c r="BP287" s="75"/>
      <c r="BQ287" s="75"/>
      <c r="BR287" s="75"/>
      <c r="BS287" s="75"/>
      <c r="BT287" s="75"/>
      <c r="BU287" s="75"/>
      <c r="BV287" s="75"/>
      <c r="BW287" s="75"/>
      <c r="BX287" s="75"/>
      <c r="BY287" s="75"/>
      <c r="BZ287" s="75"/>
      <c r="CA287" s="75"/>
      <c r="CB287" s="75"/>
    </row>
    <row r="288" spans="1:80" x14ac:dyDescent="0.25">
      <c r="BM288" s="74"/>
    </row>
    <row r="289" spans="2:65" x14ac:dyDescent="0.25">
      <c r="BM289" s="74"/>
    </row>
    <row r="290" spans="2:65" x14ac:dyDescent="0.25">
      <c r="C290" s="12" t="s">
        <v>115</v>
      </c>
      <c r="BM290" s="74"/>
    </row>
    <row r="291" spans="2:65" x14ac:dyDescent="0.25">
      <c r="C291" t="s">
        <v>116</v>
      </c>
      <c r="D291" t="s">
        <v>117</v>
      </c>
      <c r="F291" t="s">
        <v>118</v>
      </c>
      <c r="BM291" s="74"/>
    </row>
    <row r="292" spans="2:65" x14ac:dyDescent="0.25">
      <c r="B292">
        <v>0</v>
      </c>
      <c r="C292">
        <v>13.12</v>
      </c>
      <c r="D292">
        <v>14.08</v>
      </c>
      <c r="E292">
        <f t="shared" ref="E292:E301" si="127">C292/D292</f>
        <v>0.93181818181818177</v>
      </c>
    </row>
    <row r="293" spans="2:65" x14ac:dyDescent="0.25">
      <c r="B293">
        <v>1</v>
      </c>
      <c r="C293">
        <v>6.1</v>
      </c>
      <c r="D293">
        <v>5.48</v>
      </c>
      <c r="E293">
        <f t="shared" si="127"/>
        <v>1.1131386861313868</v>
      </c>
    </row>
    <row r="294" spans="2:65" x14ac:dyDescent="0.25">
      <c r="B294">
        <v>2</v>
      </c>
      <c r="C294">
        <v>2.87</v>
      </c>
      <c r="D294">
        <v>2.04</v>
      </c>
      <c r="E294">
        <f t="shared" si="127"/>
        <v>1.4068627450980393</v>
      </c>
    </row>
    <row r="295" spans="2:65" x14ac:dyDescent="0.25">
      <c r="B295">
        <v>3</v>
      </c>
      <c r="C295">
        <v>1.33</v>
      </c>
      <c r="D295">
        <v>0.82</v>
      </c>
      <c r="E295">
        <f t="shared" si="127"/>
        <v>1.6219512195121952</v>
      </c>
    </row>
    <row r="296" spans="2:65" x14ac:dyDescent="0.25">
      <c r="B296">
        <v>4</v>
      </c>
      <c r="C296">
        <v>0.59</v>
      </c>
      <c r="D296">
        <v>0.42899999999999999</v>
      </c>
      <c r="E296">
        <f t="shared" si="127"/>
        <v>1.3752913752913754</v>
      </c>
    </row>
    <row r="297" spans="2:65" x14ac:dyDescent="0.25">
      <c r="B297">
        <v>5</v>
      </c>
      <c r="C297">
        <v>0.31</v>
      </c>
      <c r="D297">
        <v>0.2</v>
      </c>
      <c r="E297">
        <f t="shared" si="127"/>
        <v>1.5499999999999998</v>
      </c>
    </row>
    <row r="298" spans="2:65" x14ac:dyDescent="0.25">
      <c r="B298">
        <v>6</v>
      </c>
      <c r="C298">
        <v>0.22</v>
      </c>
      <c r="D298">
        <v>0.124</v>
      </c>
      <c r="E298">
        <f t="shared" si="127"/>
        <v>1.7741935483870968</v>
      </c>
      <c r="F298">
        <f>(H298-G298)/I298</f>
        <v>4.6668540905257239E-2</v>
      </c>
      <c r="G298">
        <v>13932</v>
      </c>
      <c r="H298">
        <v>14098</v>
      </c>
      <c r="I298">
        <f>59*60+17</f>
        <v>3557</v>
      </c>
    </row>
    <row r="299" spans="2:65" x14ac:dyDescent="0.25">
      <c r="B299">
        <v>7</v>
      </c>
      <c r="C299">
        <v>0.14000000000000001</v>
      </c>
      <c r="D299">
        <v>7.6999999999999999E-2</v>
      </c>
      <c r="E299">
        <f t="shared" si="127"/>
        <v>1.8181818181818183</v>
      </c>
      <c r="F299">
        <f>(H299-G299)/I299</f>
        <v>1.8836097835254428E-2</v>
      </c>
      <c r="G299">
        <v>8970</v>
      </c>
      <c r="H299">
        <v>9037</v>
      </c>
      <c r="I299">
        <f>59*60+17</f>
        <v>3557</v>
      </c>
    </row>
    <row r="300" spans="2:65" x14ac:dyDescent="0.25">
      <c r="B300">
        <v>8</v>
      </c>
      <c r="C300">
        <v>7.8E-2</v>
      </c>
      <c r="D300">
        <v>6.3E-2</v>
      </c>
      <c r="E300">
        <f t="shared" si="127"/>
        <v>1.2380952380952381</v>
      </c>
      <c r="F300">
        <f>(H300-G300)/I300</f>
        <v>1.1526567332021367E-2</v>
      </c>
      <c r="G300">
        <v>4770</v>
      </c>
      <c r="H300">
        <v>4811</v>
      </c>
      <c r="I300">
        <f>59*60+17</f>
        <v>3557</v>
      </c>
    </row>
    <row r="301" spans="2:65" x14ac:dyDescent="0.25">
      <c r="B301">
        <v>9</v>
      </c>
      <c r="C301">
        <v>2.5000000000000001E-2</v>
      </c>
      <c r="D301">
        <v>1.9800000000000002E-2</v>
      </c>
      <c r="E301">
        <f t="shared" si="127"/>
        <v>1.2626262626262625</v>
      </c>
      <c r="F301">
        <f>(H301-G301)/I301</f>
        <v>2.2490863086870958E-3</v>
      </c>
      <c r="G301">
        <v>1476</v>
      </c>
      <c r="H301">
        <v>1484</v>
      </c>
      <c r="I301">
        <f>59*60+17</f>
        <v>3557</v>
      </c>
    </row>
    <row r="302" spans="2:65" x14ac:dyDescent="0.25">
      <c r="C302" t="s">
        <v>119</v>
      </c>
      <c r="D302" t="s">
        <v>120</v>
      </c>
      <c r="F302" t="s">
        <v>121</v>
      </c>
      <c r="P302" s="73">
        <v>43154</v>
      </c>
    </row>
    <row r="318" spans="3:6" x14ac:dyDescent="0.25">
      <c r="C318" s="12" t="s">
        <v>123</v>
      </c>
    </row>
    <row r="319" spans="3:6" x14ac:dyDescent="0.25">
      <c r="C319" t="s">
        <v>122</v>
      </c>
      <c r="D319" t="s">
        <v>116</v>
      </c>
      <c r="E319" t="s">
        <v>117</v>
      </c>
      <c r="F319" t="s">
        <v>118</v>
      </c>
    </row>
    <row r="320" spans="3:6" x14ac:dyDescent="0.25">
      <c r="C320">
        <v>0</v>
      </c>
      <c r="D320">
        <v>13.12</v>
      </c>
      <c r="E320">
        <v>14.08</v>
      </c>
    </row>
    <row r="321" spans="3:6" x14ac:dyDescent="0.25">
      <c r="C321">
        <v>1</v>
      </c>
      <c r="D321">
        <v>6.1</v>
      </c>
      <c r="E321">
        <v>5.48</v>
      </c>
    </row>
    <row r="322" spans="3:6" x14ac:dyDescent="0.25">
      <c r="C322">
        <v>2</v>
      </c>
      <c r="D322">
        <v>2.87</v>
      </c>
      <c r="E322">
        <v>2.04</v>
      </c>
    </row>
    <row r="323" spans="3:6" x14ac:dyDescent="0.25">
      <c r="C323">
        <v>3</v>
      </c>
      <c r="D323">
        <v>1.33</v>
      </c>
      <c r="E323">
        <v>0.82</v>
      </c>
    </row>
    <row r="324" spans="3:6" x14ac:dyDescent="0.25">
      <c r="C324">
        <v>4</v>
      </c>
      <c r="D324">
        <v>0.59</v>
      </c>
      <c r="E324">
        <v>0.42899999999999999</v>
      </c>
    </row>
    <row r="325" spans="3:6" x14ac:dyDescent="0.25">
      <c r="C325">
        <v>5</v>
      </c>
      <c r="D325">
        <v>0.31</v>
      </c>
      <c r="E325">
        <v>0.2</v>
      </c>
    </row>
    <row r="326" spans="3:6" x14ac:dyDescent="0.25">
      <c r="C326">
        <v>6</v>
      </c>
      <c r="D326">
        <v>0.22</v>
      </c>
      <c r="E326">
        <v>0.124</v>
      </c>
      <c r="F326">
        <v>4.6668540905257239E-2</v>
      </c>
    </row>
    <row r="327" spans="3:6" x14ac:dyDescent="0.25">
      <c r="C327">
        <v>7</v>
      </c>
      <c r="D327">
        <v>0.14000000000000001</v>
      </c>
      <c r="E327">
        <v>7.6999999999999999E-2</v>
      </c>
      <c r="F327">
        <v>1.8836097835254428E-2</v>
      </c>
    </row>
    <row r="328" spans="3:6" x14ac:dyDescent="0.25">
      <c r="C328">
        <v>8</v>
      </c>
      <c r="D328">
        <v>7.8E-2</v>
      </c>
      <c r="E328">
        <v>6.3E-2</v>
      </c>
      <c r="F328">
        <v>1.1526567332021367E-2</v>
      </c>
    </row>
    <row r="329" spans="3:6" x14ac:dyDescent="0.25">
      <c r="C329">
        <v>9</v>
      </c>
      <c r="D329">
        <v>2.5000000000000001E-2</v>
      </c>
      <c r="E329">
        <v>1.9800000000000002E-2</v>
      </c>
      <c r="F329">
        <v>2.2490863086870958E-3</v>
      </c>
    </row>
    <row r="390" spans="3:14" x14ac:dyDescent="0.25">
      <c r="C390" s="12" t="s">
        <v>126</v>
      </c>
      <c r="H390" s="17" t="s">
        <v>128</v>
      </c>
      <c r="I390">
        <v>4.2469032846138091E+24</v>
      </c>
    </row>
    <row r="391" spans="3:14" x14ac:dyDescent="0.25">
      <c r="D391" t="s">
        <v>129</v>
      </c>
      <c r="E391">
        <v>60000</v>
      </c>
      <c r="F391">
        <v>1000</v>
      </c>
      <c r="G391">
        <v>1000</v>
      </c>
      <c r="H391" s="12" t="s">
        <v>127</v>
      </c>
      <c r="I391" s="12" t="s">
        <v>130</v>
      </c>
      <c r="J391" s="12" t="s">
        <v>131</v>
      </c>
      <c r="K391" s="12" t="s">
        <v>132</v>
      </c>
      <c r="M391">
        <v>4004</v>
      </c>
      <c r="N391" s="12" t="s">
        <v>131</v>
      </c>
    </row>
    <row r="392" spans="3:14" x14ac:dyDescent="0.25">
      <c r="C392">
        <v>0</v>
      </c>
      <c r="D392">
        <v>30</v>
      </c>
      <c r="E392">
        <f t="shared" ref="E392:G401" si="128">E$391/$D392</f>
        <v>2000</v>
      </c>
      <c r="F392">
        <f t="shared" si="128"/>
        <v>33.333333333333336</v>
      </c>
      <c r="G392">
        <f t="shared" si="128"/>
        <v>33.333333333333336</v>
      </c>
      <c r="H392">
        <v>1.7999999999999999E-2</v>
      </c>
      <c r="I392">
        <f t="shared" ref="I392:I401" si="129">D392*$I$390^(1/3)*10^(-10)</f>
        <v>0.48582371615275832</v>
      </c>
      <c r="J392">
        <v>2.0299999999999999E-2</v>
      </c>
      <c r="K392">
        <f t="shared" ref="K392:K401" si="130">$I$390*D392^3*10^(-30)</f>
        <v>0.11466638868457284</v>
      </c>
      <c r="L392">
        <v>1</v>
      </c>
      <c r="M392">
        <v>4015.03</v>
      </c>
      <c r="N392">
        <f>(M392-$M$391)/600</f>
        <v>1.8383333333333668E-2</v>
      </c>
    </row>
    <row r="393" spans="3:14" x14ac:dyDescent="0.25">
      <c r="C393">
        <v>1</v>
      </c>
      <c r="D393">
        <v>40</v>
      </c>
      <c r="E393">
        <f t="shared" si="128"/>
        <v>1500</v>
      </c>
      <c r="F393">
        <f t="shared" si="128"/>
        <v>25</v>
      </c>
      <c r="G393">
        <f t="shared" si="128"/>
        <v>25</v>
      </c>
      <c r="H393">
        <v>2.3E-2</v>
      </c>
      <c r="I393">
        <f t="shared" si="129"/>
        <v>0.64776495487034436</v>
      </c>
      <c r="J393">
        <v>2.24E-2</v>
      </c>
      <c r="K393">
        <f t="shared" si="130"/>
        <v>0.27180181021528377</v>
      </c>
      <c r="L393">
        <v>1</v>
      </c>
      <c r="M393">
        <v>4017.53</v>
      </c>
      <c r="N393">
        <f t="shared" ref="N393:N401" si="131">(M393-$M$391)/600</f>
        <v>2.2550000000000334E-2</v>
      </c>
    </row>
    <row r="394" spans="3:14" x14ac:dyDescent="0.25">
      <c r="C394">
        <v>2</v>
      </c>
      <c r="D394">
        <v>50</v>
      </c>
      <c r="E394">
        <f t="shared" si="128"/>
        <v>1200</v>
      </c>
      <c r="F394">
        <f t="shared" si="128"/>
        <v>20</v>
      </c>
      <c r="G394">
        <f t="shared" si="128"/>
        <v>20</v>
      </c>
      <c r="H394">
        <v>2.5000000000000001E-2</v>
      </c>
      <c r="I394">
        <f t="shared" si="129"/>
        <v>0.8097061935879305</v>
      </c>
      <c r="J394">
        <v>2.4400000000000002E-2</v>
      </c>
      <c r="K394">
        <f t="shared" si="130"/>
        <v>0.53086291057672608</v>
      </c>
      <c r="L394">
        <v>1</v>
      </c>
      <c r="M394">
        <v>4018.54</v>
      </c>
      <c r="N394">
        <f t="shared" si="131"/>
        <v>2.4233333333333273E-2</v>
      </c>
    </row>
    <row r="395" spans="3:14" x14ac:dyDescent="0.25">
      <c r="C395">
        <v>3</v>
      </c>
      <c r="D395">
        <v>60</v>
      </c>
      <c r="E395">
        <f t="shared" si="128"/>
        <v>1000</v>
      </c>
      <c r="F395">
        <f t="shared" si="128"/>
        <v>16.666666666666668</v>
      </c>
      <c r="G395">
        <f t="shared" si="128"/>
        <v>16.666666666666668</v>
      </c>
      <c r="H395">
        <v>2.5999999999999999E-2</v>
      </c>
      <c r="I395">
        <f t="shared" si="129"/>
        <v>0.97164743230551665</v>
      </c>
      <c r="J395">
        <v>2.2800000000000001E-2</v>
      </c>
      <c r="K395">
        <f t="shared" si="130"/>
        <v>0.9173311094765827</v>
      </c>
      <c r="L395">
        <v>1</v>
      </c>
      <c r="M395">
        <v>4017.58</v>
      </c>
      <c r="N395">
        <f t="shared" si="131"/>
        <v>2.2633333333333214E-2</v>
      </c>
    </row>
    <row r="396" spans="3:14" x14ac:dyDescent="0.25">
      <c r="C396">
        <v>4</v>
      </c>
      <c r="D396">
        <v>70</v>
      </c>
      <c r="E396">
        <f t="shared" si="128"/>
        <v>857.14285714285711</v>
      </c>
      <c r="F396">
        <f t="shared" si="128"/>
        <v>14.285714285714286</v>
      </c>
      <c r="G396">
        <f t="shared" si="128"/>
        <v>14.285714285714286</v>
      </c>
      <c r="H396">
        <v>2.1999999999999999E-2</v>
      </c>
      <c r="I396">
        <f t="shared" si="129"/>
        <v>1.1335886710231029</v>
      </c>
      <c r="J396">
        <v>2.3300000000000001E-2</v>
      </c>
      <c r="K396">
        <f t="shared" si="130"/>
        <v>1.4566878266225365</v>
      </c>
      <c r="L396">
        <v>1</v>
      </c>
      <c r="M396">
        <v>4017.95</v>
      </c>
      <c r="N396">
        <f t="shared" si="131"/>
        <v>2.3249999999999698E-2</v>
      </c>
    </row>
    <row r="397" spans="3:14" x14ac:dyDescent="0.25">
      <c r="C397">
        <v>5</v>
      </c>
      <c r="D397">
        <v>80</v>
      </c>
      <c r="E397">
        <f t="shared" si="128"/>
        <v>750</v>
      </c>
      <c r="F397">
        <f t="shared" si="128"/>
        <v>12.5</v>
      </c>
      <c r="G397">
        <f t="shared" si="128"/>
        <v>12.5</v>
      </c>
      <c r="H397">
        <v>1.9E-2</v>
      </c>
      <c r="I397">
        <f t="shared" si="129"/>
        <v>1.2955299097406887</v>
      </c>
      <c r="J397">
        <v>1.7899999999999999E-2</v>
      </c>
      <c r="K397">
        <f t="shared" si="130"/>
        <v>2.1744144817222701</v>
      </c>
      <c r="L397">
        <v>1</v>
      </c>
      <c r="M397">
        <v>4014.84</v>
      </c>
      <c r="N397">
        <f t="shared" si="131"/>
        <v>1.8066666666666908E-2</v>
      </c>
    </row>
    <row r="398" spans="3:14" x14ac:dyDescent="0.25">
      <c r="C398">
        <v>6</v>
      </c>
      <c r="D398">
        <v>90</v>
      </c>
      <c r="E398">
        <f t="shared" si="128"/>
        <v>666.66666666666663</v>
      </c>
      <c r="F398">
        <f t="shared" si="128"/>
        <v>11.111111111111111</v>
      </c>
      <c r="G398">
        <f t="shared" si="128"/>
        <v>11.111111111111111</v>
      </c>
      <c r="H398">
        <v>1.7000000000000001E-2</v>
      </c>
      <c r="I398">
        <f t="shared" si="129"/>
        <v>1.457471148458275</v>
      </c>
      <c r="J398">
        <v>1.6799999999999999E-2</v>
      </c>
      <c r="K398">
        <f t="shared" si="130"/>
        <v>3.0959924944834665</v>
      </c>
      <c r="L398">
        <v>1</v>
      </c>
      <c r="M398">
        <v>4014.09</v>
      </c>
      <c r="N398">
        <f t="shared" si="131"/>
        <v>1.681666666666691E-2</v>
      </c>
    </row>
    <row r="399" spans="3:14" x14ac:dyDescent="0.25">
      <c r="C399">
        <v>7</v>
      </c>
      <c r="D399">
        <v>100</v>
      </c>
      <c r="E399">
        <f t="shared" si="128"/>
        <v>600</v>
      </c>
      <c r="F399">
        <f t="shared" si="128"/>
        <v>10</v>
      </c>
      <c r="G399">
        <f t="shared" si="128"/>
        <v>10</v>
      </c>
      <c r="H399">
        <v>1.498E-2</v>
      </c>
      <c r="I399">
        <f t="shared" si="129"/>
        <v>1.619412387175861</v>
      </c>
      <c r="J399">
        <v>1.6760000000000001E-2</v>
      </c>
      <c r="K399">
        <f t="shared" si="130"/>
        <v>4.2469032846138086</v>
      </c>
      <c r="L399">
        <v>1</v>
      </c>
      <c r="M399">
        <v>4013.66</v>
      </c>
      <c r="N399">
        <f t="shared" si="131"/>
        <v>1.6099999999999757E-2</v>
      </c>
    </row>
    <row r="400" spans="3:14" x14ac:dyDescent="0.25">
      <c r="C400">
        <v>8</v>
      </c>
      <c r="D400">
        <v>110</v>
      </c>
      <c r="E400">
        <f t="shared" si="128"/>
        <v>545.4545454545455</v>
      </c>
      <c r="F400">
        <f t="shared" si="128"/>
        <v>9.0909090909090917</v>
      </c>
      <c r="G400">
        <f t="shared" si="128"/>
        <v>9.0909090909090917</v>
      </c>
      <c r="H400">
        <v>1.47E-2</v>
      </c>
      <c r="I400">
        <f t="shared" si="129"/>
        <v>1.7813536258934473</v>
      </c>
      <c r="J400">
        <v>1.44E-2</v>
      </c>
      <c r="K400">
        <f t="shared" si="130"/>
        <v>5.6526282718209799</v>
      </c>
      <c r="L400">
        <v>1</v>
      </c>
      <c r="M400">
        <v>4012.42</v>
      </c>
      <c r="N400">
        <f t="shared" si="131"/>
        <v>1.4033333333333455E-2</v>
      </c>
    </row>
    <row r="401" spans="3:33" x14ac:dyDescent="0.25">
      <c r="C401">
        <v>9</v>
      </c>
      <c r="D401">
        <v>120</v>
      </c>
      <c r="E401">
        <f t="shared" si="128"/>
        <v>500</v>
      </c>
      <c r="F401">
        <f t="shared" si="128"/>
        <v>8.3333333333333339</v>
      </c>
      <c r="G401">
        <f t="shared" si="128"/>
        <v>8.3333333333333339</v>
      </c>
      <c r="H401">
        <v>1.2999999999999999E-2</v>
      </c>
      <c r="I401">
        <f t="shared" si="129"/>
        <v>1.9432948646110333</v>
      </c>
      <c r="K401">
        <f t="shared" si="130"/>
        <v>7.3386488758126616</v>
      </c>
      <c r="L401">
        <v>1</v>
      </c>
      <c r="M401">
        <v>4010.48</v>
      </c>
      <c r="N401">
        <f t="shared" si="131"/>
        <v>1.080000000000003E-2</v>
      </c>
    </row>
    <row r="403" spans="3:33" x14ac:dyDescent="0.25">
      <c r="C403" s="12" t="s">
        <v>126</v>
      </c>
      <c r="H403" s="17" t="s">
        <v>128</v>
      </c>
      <c r="I403">
        <v>4.2469032846138091E+24</v>
      </c>
      <c r="M403" s="17" t="s">
        <v>133</v>
      </c>
      <c r="N403">
        <v>5.0000000000000002E-5</v>
      </c>
      <c r="O403">
        <v>4.9999999999999998E-7</v>
      </c>
    </row>
    <row r="404" spans="3:33" x14ac:dyDescent="0.25">
      <c r="D404" t="s">
        <v>129</v>
      </c>
      <c r="E404">
        <v>60000</v>
      </c>
      <c r="F404">
        <v>1000</v>
      </c>
      <c r="G404">
        <v>1000</v>
      </c>
      <c r="H404" s="12" t="s">
        <v>127</v>
      </c>
      <c r="I404" s="12" t="s">
        <v>130</v>
      </c>
      <c r="J404" s="12" t="s">
        <v>131</v>
      </c>
      <c r="K404" s="12" t="s">
        <v>132</v>
      </c>
      <c r="M404">
        <v>4004</v>
      </c>
      <c r="N404" s="12" t="s">
        <v>135</v>
      </c>
      <c r="P404" s="12" t="s">
        <v>134</v>
      </c>
      <c r="R404" s="12" t="s">
        <v>136</v>
      </c>
      <c r="T404" s="12" t="s">
        <v>137</v>
      </c>
      <c r="U404" s="18" t="s">
        <v>141</v>
      </c>
      <c r="W404" s="19"/>
      <c r="X404" s="20" t="s">
        <v>142</v>
      </c>
      <c r="Y404" s="19"/>
      <c r="Z404" s="20">
        <v>6.2573720728907245E-6</v>
      </c>
      <c r="AA404" s="20"/>
      <c r="AB404" s="20">
        <v>6.2573720728907246E-8</v>
      </c>
      <c r="AC404" s="20"/>
      <c r="AD404" s="20">
        <v>6.2573720728907241E-7</v>
      </c>
      <c r="AF404" s="12">
        <v>6.2573720728907245E-5</v>
      </c>
    </row>
    <row r="405" spans="3:33" x14ac:dyDescent="0.25">
      <c r="C405">
        <v>10</v>
      </c>
      <c r="D405">
        <v>20</v>
      </c>
      <c r="E405">
        <f t="shared" ref="E405:G416" si="132">E$391/$D405</f>
        <v>3000</v>
      </c>
      <c r="F405">
        <f t="shared" si="132"/>
        <v>50</v>
      </c>
      <c r="G405">
        <f t="shared" si="132"/>
        <v>50</v>
      </c>
      <c r="I405">
        <f t="shared" ref="I405:I416" si="133">D405*$I$390^(1/3)*10^(-10)</f>
        <v>0.32388247743517218</v>
      </c>
      <c r="K405">
        <f t="shared" ref="K405:K416" si="134">$I$390*D405^3*10^(-30)</f>
        <v>3.3975226276910471E-2</v>
      </c>
      <c r="L405">
        <v>10</v>
      </c>
      <c r="M405">
        <v>4023.98</v>
      </c>
      <c r="N405">
        <f t="shared" ref="N405:N416" si="135">(M405-$M$391)/30/60</f>
        <v>1.1100000000000009E-2</v>
      </c>
      <c r="O405">
        <v>4082</v>
      </c>
      <c r="P405">
        <f>(O405-$M$404)/30/60</f>
        <v>4.3333333333333335E-2</v>
      </c>
      <c r="Q405">
        <v>4088</v>
      </c>
      <c r="R405">
        <f>(Q405-$M$404)/30/60</f>
        <v>4.6666666666666662E-2</v>
      </c>
      <c r="S405">
        <v>4079</v>
      </c>
      <c r="T405">
        <f>(S405-$M$404)/30/60</f>
        <v>4.1666666666666664E-2</v>
      </c>
      <c r="U405">
        <f>SQRT(2/PI()/$E$459/$E$458)*D405/2/250000</f>
        <v>1.1434166075275384E-7</v>
      </c>
      <c r="V405">
        <v>10</v>
      </c>
      <c r="W405" s="19">
        <v>4095.37</v>
      </c>
      <c r="X405" s="19">
        <f>(W405-$M$404)/30/60</f>
        <v>5.0761111111111049E-2</v>
      </c>
      <c r="Y405" s="19">
        <v>4058.15</v>
      </c>
      <c r="Z405" s="19">
        <f>(Y405-$M$404)/30/60</f>
        <v>3.0083333333333385E-2</v>
      </c>
      <c r="AA405" s="19">
        <v>4084.65</v>
      </c>
      <c r="AB405" s="19">
        <f>(AA405-$M$404)/30/60</f>
        <v>4.4805555555555612E-2</v>
      </c>
      <c r="AC405" s="19">
        <v>4084</v>
      </c>
      <c r="AD405" s="19">
        <f>(AC405-$M$404)/30/60</f>
        <v>4.4444444444444439E-2</v>
      </c>
      <c r="AE405">
        <v>4018.32</v>
      </c>
      <c r="AF405" s="19">
        <f>(AE405-$M$404)/30/60</f>
        <v>7.9555555555556462E-3</v>
      </c>
      <c r="AG405">
        <v>10</v>
      </c>
    </row>
    <row r="406" spans="3:33" x14ac:dyDescent="0.25">
      <c r="C406">
        <v>11</v>
      </c>
      <c r="D406">
        <v>25</v>
      </c>
      <c r="E406">
        <f t="shared" si="132"/>
        <v>2400</v>
      </c>
      <c r="F406">
        <f t="shared" si="132"/>
        <v>40</v>
      </c>
      <c r="G406">
        <f t="shared" si="132"/>
        <v>40</v>
      </c>
      <c r="I406">
        <f t="shared" si="133"/>
        <v>0.40485309679396525</v>
      </c>
      <c r="K406">
        <f t="shared" si="134"/>
        <v>6.635786382209076E-2</v>
      </c>
      <c r="L406">
        <v>11</v>
      </c>
      <c r="M406">
        <v>4028.07</v>
      </c>
      <c r="N406">
        <f t="shared" si="135"/>
        <v>1.3372222222222313E-2</v>
      </c>
      <c r="O406">
        <v>4093</v>
      </c>
      <c r="P406">
        <f t="shared" ref="P406:P416" si="136">(O406-$M$404)/30/60</f>
        <v>4.9444444444444444E-2</v>
      </c>
      <c r="Q406">
        <v>4102.76</v>
      </c>
      <c r="R406">
        <f t="shared" ref="R406:R416" si="137">(Q406-$M$404)/30/60</f>
        <v>5.4866666666666793E-2</v>
      </c>
      <c r="S406">
        <v>4087.74</v>
      </c>
      <c r="T406">
        <f t="shared" ref="T406:T416" si="138">(S406-$M$404)/30/60</f>
        <v>4.6522222222222104E-2</v>
      </c>
      <c r="U406">
        <f t="shared" ref="U406:U416" si="139">SQRT(2/PI()/$E$459/$E$458)*D406/2/250000</f>
        <v>1.429270759409423E-7</v>
      </c>
      <c r="V406">
        <v>11</v>
      </c>
      <c r="W406" s="19">
        <v>4097.8999999999996</v>
      </c>
      <c r="X406" s="19">
        <f t="shared" ref="X406:X416" si="140">(W406-$M$404)/30/60</f>
        <v>5.2166666666666466E-2</v>
      </c>
      <c r="Y406" s="19">
        <v>4069.28</v>
      </c>
      <c r="Z406" s="19">
        <f t="shared" ref="Z406:Z416" si="141">(Y406-$M$404)/30/60</f>
        <v>3.626666666666678E-2</v>
      </c>
      <c r="AA406" s="19">
        <v>4098.5600000000004</v>
      </c>
      <c r="AB406" s="19">
        <f t="shared" ref="AB406:AB416" si="142">(AA406-$M$404)/30/60</f>
        <v>5.2533333333333557E-2</v>
      </c>
      <c r="AC406" s="19">
        <v>4091</v>
      </c>
      <c r="AD406" s="19">
        <f t="shared" ref="AD406:AD416" si="143">(AC406-$M$404)/30/60</f>
        <v>4.8333333333333332E-2</v>
      </c>
      <c r="AE406">
        <v>4026</v>
      </c>
      <c r="AF406" s="19">
        <f t="shared" ref="AF406:AF416" si="144">(AE406-$M$404)/30/60</f>
        <v>1.2222222222222221E-2</v>
      </c>
      <c r="AG406">
        <v>11</v>
      </c>
    </row>
    <row r="407" spans="3:33" x14ac:dyDescent="0.25">
      <c r="C407">
        <v>0</v>
      </c>
      <c r="D407">
        <v>30</v>
      </c>
      <c r="E407">
        <f t="shared" si="132"/>
        <v>2000</v>
      </c>
      <c r="F407">
        <f t="shared" si="132"/>
        <v>33.333333333333336</v>
      </c>
      <c r="G407">
        <f t="shared" si="132"/>
        <v>33.333333333333336</v>
      </c>
      <c r="H407">
        <v>1.7999999999999999E-2</v>
      </c>
      <c r="I407">
        <f t="shared" si="133"/>
        <v>0.48582371615275832</v>
      </c>
      <c r="K407">
        <f t="shared" si="134"/>
        <v>0.11466638868457284</v>
      </c>
      <c r="L407">
        <v>0</v>
      </c>
      <c r="M407">
        <v>4034.48</v>
      </c>
      <c r="N407">
        <f t="shared" si="135"/>
        <v>1.6933333333333345E-2</v>
      </c>
      <c r="O407">
        <v>4103</v>
      </c>
      <c r="P407">
        <f t="shared" si="136"/>
        <v>5.5E-2</v>
      </c>
      <c r="Q407">
        <v>4094</v>
      </c>
      <c r="R407">
        <f t="shared" si="137"/>
        <v>0.05</v>
      </c>
      <c r="S407">
        <v>4100</v>
      </c>
      <c r="T407">
        <f t="shared" si="138"/>
        <v>5.3333333333333337E-2</v>
      </c>
      <c r="U407">
        <f t="shared" si="139"/>
        <v>1.7151249112913074E-7</v>
      </c>
      <c r="V407">
        <v>0</v>
      </c>
      <c r="W407" s="19">
        <v>4110.74</v>
      </c>
      <c r="X407" s="19">
        <f t="shared" si="140"/>
        <v>5.9299999999999881E-2</v>
      </c>
      <c r="Y407" s="19">
        <v>4083.51</v>
      </c>
      <c r="Z407" s="19">
        <f t="shared" si="141"/>
        <v>4.4172222222222349E-2</v>
      </c>
      <c r="AA407" s="19">
        <v>4103.91</v>
      </c>
      <c r="AB407" s="19">
        <f t="shared" si="142"/>
        <v>5.5505555555555475E-2</v>
      </c>
      <c r="AC407" s="19">
        <v>4103</v>
      </c>
      <c r="AD407" s="19">
        <f t="shared" si="143"/>
        <v>5.5E-2</v>
      </c>
      <c r="AE407">
        <v>4035.76</v>
      </c>
      <c r="AF407" s="19">
        <f t="shared" si="144"/>
        <v>1.7644444444444567E-2</v>
      </c>
      <c r="AG407">
        <v>0</v>
      </c>
    </row>
    <row r="408" spans="3:33" x14ac:dyDescent="0.25">
      <c r="C408">
        <v>1</v>
      </c>
      <c r="D408">
        <v>40</v>
      </c>
      <c r="E408">
        <f t="shared" si="132"/>
        <v>1500</v>
      </c>
      <c r="F408">
        <f t="shared" si="132"/>
        <v>25</v>
      </c>
      <c r="G408">
        <f t="shared" si="132"/>
        <v>25</v>
      </c>
      <c r="H408">
        <v>2.3E-2</v>
      </c>
      <c r="I408">
        <f t="shared" si="133"/>
        <v>0.64776495487034436</v>
      </c>
      <c r="K408">
        <f t="shared" si="134"/>
        <v>0.27180181021528377</v>
      </c>
      <c r="L408">
        <v>1</v>
      </c>
      <c r="M408">
        <v>4044.36</v>
      </c>
      <c r="N408">
        <f t="shared" si="135"/>
        <v>2.2422222222222291E-2</v>
      </c>
      <c r="O408">
        <v>4090</v>
      </c>
      <c r="P408">
        <f t="shared" si="136"/>
        <v>4.777777777777778E-2</v>
      </c>
      <c r="Q408">
        <v>4086</v>
      </c>
      <c r="R408">
        <f t="shared" si="137"/>
        <v>4.5555555555555557E-2</v>
      </c>
      <c r="S408">
        <v>4089.72</v>
      </c>
      <c r="T408">
        <f t="shared" si="138"/>
        <v>4.7622222222222114E-2</v>
      </c>
      <c r="U408">
        <f t="shared" si="139"/>
        <v>2.2868332150550768E-7</v>
      </c>
      <c r="V408">
        <v>1</v>
      </c>
      <c r="W408" s="19">
        <v>4091.61</v>
      </c>
      <c r="X408" s="19">
        <f t="shared" si="140"/>
        <v>4.8672222222222297E-2</v>
      </c>
      <c r="Y408" s="19">
        <v>4080.64</v>
      </c>
      <c r="Z408" s="19">
        <f t="shared" si="141"/>
        <v>4.2577777777777708E-2</v>
      </c>
      <c r="AA408" s="19">
        <v>4086.07</v>
      </c>
      <c r="AB408" s="19">
        <f t="shared" si="142"/>
        <v>4.5594444444444535E-2</v>
      </c>
      <c r="AC408" s="19">
        <v>4093</v>
      </c>
      <c r="AD408" s="19">
        <f t="shared" si="143"/>
        <v>4.9444444444444444E-2</v>
      </c>
      <c r="AE408">
        <v>4040.25</v>
      </c>
      <c r="AF408" s="19">
        <f t="shared" si="144"/>
        <v>2.0138888888888887E-2</v>
      </c>
      <c r="AG408">
        <v>1</v>
      </c>
    </row>
    <row r="409" spans="3:33" x14ac:dyDescent="0.25">
      <c r="C409">
        <v>2</v>
      </c>
      <c r="D409">
        <v>50</v>
      </c>
      <c r="E409">
        <f t="shared" si="132"/>
        <v>1200</v>
      </c>
      <c r="F409">
        <f t="shared" si="132"/>
        <v>20</v>
      </c>
      <c r="G409">
        <f t="shared" si="132"/>
        <v>20</v>
      </c>
      <c r="H409">
        <v>2.5000000000000001E-2</v>
      </c>
      <c r="I409">
        <f t="shared" si="133"/>
        <v>0.8097061935879305</v>
      </c>
      <c r="K409">
        <f t="shared" si="134"/>
        <v>0.53086291057672608</v>
      </c>
      <c r="L409">
        <v>2</v>
      </c>
      <c r="M409">
        <v>4047.64</v>
      </c>
      <c r="N409">
        <f t="shared" si="135"/>
        <v>2.4244444444444371E-2</v>
      </c>
      <c r="O409">
        <v>4077</v>
      </c>
      <c r="P409">
        <f t="shared" si="136"/>
        <v>4.0555555555555553E-2</v>
      </c>
      <c r="Q409">
        <v>4071.73</v>
      </c>
      <c r="R409">
        <f t="shared" si="137"/>
        <v>3.7627777777777788E-2</v>
      </c>
      <c r="S409">
        <v>4073.94</v>
      </c>
      <c r="T409">
        <f t="shared" si="138"/>
        <v>3.8855555555555581E-2</v>
      </c>
      <c r="U409">
        <f t="shared" si="139"/>
        <v>2.858541518818846E-7</v>
      </c>
      <c r="V409">
        <v>2</v>
      </c>
      <c r="W409" s="19">
        <v>4075.85</v>
      </c>
      <c r="X409" s="19">
        <f t="shared" si="140"/>
        <v>3.9916666666666614E-2</v>
      </c>
      <c r="Y409" s="19">
        <v>4069.53</v>
      </c>
      <c r="Z409" s="19">
        <f t="shared" si="141"/>
        <v>3.640555555555567E-2</v>
      </c>
      <c r="AA409" s="19">
        <v>4072.17</v>
      </c>
      <c r="AB409" s="19">
        <f t="shared" si="142"/>
        <v>3.7872222222222265E-2</v>
      </c>
      <c r="AC409" s="19">
        <v>4073</v>
      </c>
      <c r="AD409" s="19">
        <f t="shared" si="143"/>
        <v>3.833333333333333E-2</v>
      </c>
      <c r="AE409">
        <v>4048.81</v>
      </c>
      <c r="AF409" s="19">
        <f t="shared" si="144"/>
        <v>2.4894444444444417E-2</v>
      </c>
      <c r="AG409">
        <v>2</v>
      </c>
    </row>
    <row r="410" spans="3:33" x14ac:dyDescent="0.25">
      <c r="C410">
        <v>3</v>
      </c>
      <c r="D410">
        <v>60</v>
      </c>
      <c r="E410">
        <f t="shared" si="132"/>
        <v>1000</v>
      </c>
      <c r="F410">
        <f t="shared" si="132"/>
        <v>16.666666666666668</v>
      </c>
      <c r="G410">
        <f t="shared" si="132"/>
        <v>16.666666666666668</v>
      </c>
      <c r="H410">
        <v>2.5999999999999999E-2</v>
      </c>
      <c r="I410">
        <f t="shared" si="133"/>
        <v>0.97164743230551665</v>
      </c>
      <c r="K410">
        <f t="shared" si="134"/>
        <v>0.9173311094765827</v>
      </c>
      <c r="L410">
        <v>3</v>
      </c>
      <c r="M410">
        <v>4050.13</v>
      </c>
      <c r="N410">
        <f t="shared" si="135"/>
        <v>2.562777777777784E-2</v>
      </c>
      <c r="O410">
        <v>4060</v>
      </c>
      <c r="P410">
        <f t="shared" si="136"/>
        <v>3.111111111111111E-2</v>
      </c>
      <c r="Q410">
        <v>4056</v>
      </c>
      <c r="R410">
        <f t="shared" si="137"/>
        <v>2.8888888888888891E-2</v>
      </c>
      <c r="S410">
        <v>4060</v>
      </c>
      <c r="T410">
        <f t="shared" si="138"/>
        <v>3.111111111111111E-2</v>
      </c>
      <c r="U410">
        <f t="shared" si="139"/>
        <v>3.4302498225826149E-7</v>
      </c>
      <c r="V410">
        <v>3</v>
      </c>
      <c r="W410" s="19">
        <v>4059.89</v>
      </c>
      <c r="X410" s="19">
        <f t="shared" si="140"/>
        <v>3.1049999999999928E-2</v>
      </c>
      <c r="Y410" s="19">
        <v>4057.72</v>
      </c>
      <c r="Z410" s="19">
        <f t="shared" si="141"/>
        <v>2.9844444444444333E-2</v>
      </c>
      <c r="AA410" s="19">
        <v>4056.64</v>
      </c>
      <c r="AB410" s="19">
        <f t="shared" si="142"/>
        <v>2.9244444444444372E-2</v>
      </c>
      <c r="AC410" s="19">
        <v>4057.54</v>
      </c>
      <c r="AD410" s="19">
        <f t="shared" si="143"/>
        <v>2.9744444444444424E-2</v>
      </c>
      <c r="AE410">
        <v>4046</v>
      </c>
      <c r="AF410" s="19">
        <f t="shared" si="144"/>
        <v>2.3333333333333331E-2</v>
      </c>
      <c r="AG410">
        <v>3</v>
      </c>
    </row>
    <row r="411" spans="3:33" x14ac:dyDescent="0.25">
      <c r="C411">
        <v>4</v>
      </c>
      <c r="D411">
        <v>70</v>
      </c>
      <c r="E411">
        <f t="shared" si="132"/>
        <v>857.14285714285711</v>
      </c>
      <c r="F411">
        <f t="shared" si="132"/>
        <v>14.285714285714286</v>
      </c>
      <c r="G411">
        <f t="shared" si="132"/>
        <v>14.285714285714286</v>
      </c>
      <c r="H411">
        <v>2.1999999999999999E-2</v>
      </c>
      <c r="I411">
        <f t="shared" si="133"/>
        <v>1.1335886710231029</v>
      </c>
      <c r="K411">
        <f t="shared" si="134"/>
        <v>1.4566878266225365</v>
      </c>
      <c r="L411">
        <v>4</v>
      </c>
      <c r="M411">
        <v>4041.47</v>
      </c>
      <c r="N411">
        <f t="shared" si="135"/>
        <v>2.0816666666666553E-2</v>
      </c>
      <c r="O411">
        <v>4051</v>
      </c>
      <c r="P411">
        <f t="shared" si="136"/>
        <v>2.6111111111111109E-2</v>
      </c>
      <c r="Q411">
        <v>4048</v>
      </c>
      <c r="R411">
        <f t="shared" si="137"/>
        <v>2.4444444444444442E-2</v>
      </c>
      <c r="S411">
        <v>4053</v>
      </c>
      <c r="T411">
        <f t="shared" si="138"/>
        <v>2.7222222222222221E-2</v>
      </c>
      <c r="U411">
        <f t="shared" si="139"/>
        <v>4.0019581263463843E-7</v>
      </c>
      <c r="V411">
        <v>4</v>
      </c>
      <c r="W411" s="19">
        <v>4051.01</v>
      </c>
      <c r="X411" s="19">
        <f t="shared" si="140"/>
        <v>2.6116666666666788E-2</v>
      </c>
      <c r="Y411" s="19">
        <v>4051.85</v>
      </c>
      <c r="Z411" s="19">
        <f t="shared" si="141"/>
        <v>2.6583333333333282E-2</v>
      </c>
      <c r="AA411" s="19">
        <v>4048.52</v>
      </c>
      <c r="AB411" s="19">
        <f t="shared" si="142"/>
        <v>2.4733333333333322E-2</v>
      </c>
      <c r="AC411" s="19">
        <v>4051</v>
      </c>
      <c r="AD411" s="19">
        <f t="shared" si="143"/>
        <v>2.6111111111111109E-2</v>
      </c>
      <c r="AE411">
        <v>4042.7</v>
      </c>
      <c r="AF411" s="19">
        <f t="shared" si="144"/>
        <v>2.1499999999999901E-2</v>
      </c>
      <c r="AG411">
        <v>4</v>
      </c>
    </row>
    <row r="412" spans="3:33" x14ac:dyDescent="0.25">
      <c r="C412">
        <v>5</v>
      </c>
      <c r="D412">
        <v>80</v>
      </c>
      <c r="E412">
        <f t="shared" si="132"/>
        <v>750</v>
      </c>
      <c r="F412">
        <f t="shared" si="132"/>
        <v>12.5</v>
      </c>
      <c r="G412">
        <f t="shared" si="132"/>
        <v>12.5</v>
      </c>
      <c r="H412">
        <v>1.9E-2</v>
      </c>
      <c r="I412">
        <f t="shared" si="133"/>
        <v>1.2955299097406887</v>
      </c>
      <c r="K412">
        <f t="shared" si="134"/>
        <v>2.1744144817222701</v>
      </c>
      <c r="L412">
        <v>5</v>
      </c>
      <c r="M412">
        <v>4036.51</v>
      </c>
      <c r="N412">
        <f t="shared" si="135"/>
        <v>1.8061111111111233E-2</v>
      </c>
      <c r="O412">
        <v>4044</v>
      </c>
      <c r="P412">
        <f t="shared" si="136"/>
        <v>2.222222222222222E-2</v>
      </c>
      <c r="Q412">
        <v>4040</v>
      </c>
      <c r="R412">
        <f t="shared" si="137"/>
        <v>0.02</v>
      </c>
      <c r="S412">
        <v>4040</v>
      </c>
      <c r="T412">
        <f t="shared" si="138"/>
        <v>0.02</v>
      </c>
      <c r="U412">
        <f t="shared" si="139"/>
        <v>4.5736664301101537E-7</v>
      </c>
      <c r="V412">
        <v>5</v>
      </c>
      <c r="W412" s="19">
        <v>4042.28</v>
      </c>
      <c r="X412" s="19">
        <f t="shared" si="140"/>
        <v>2.1266666666666777E-2</v>
      </c>
      <c r="Y412" s="19">
        <v>4043.97</v>
      </c>
      <c r="Z412" s="19">
        <f t="shared" si="141"/>
        <v>2.2205555555555444E-2</v>
      </c>
      <c r="AA412" s="19">
        <v>4040.36</v>
      </c>
      <c r="AB412" s="19">
        <f t="shared" si="142"/>
        <v>2.0200000000000069E-2</v>
      </c>
      <c r="AC412" s="19">
        <v>4041</v>
      </c>
      <c r="AD412" s="19">
        <f t="shared" si="143"/>
        <v>2.0555555555555556E-2</v>
      </c>
      <c r="AE412">
        <v>4037.71</v>
      </c>
      <c r="AF412" s="19">
        <f t="shared" si="144"/>
        <v>1.8727777777777798E-2</v>
      </c>
      <c r="AG412">
        <v>5</v>
      </c>
    </row>
    <row r="413" spans="3:33" x14ac:dyDescent="0.25">
      <c r="C413">
        <v>6</v>
      </c>
      <c r="D413">
        <v>90</v>
      </c>
      <c r="E413">
        <f t="shared" si="132"/>
        <v>666.66666666666663</v>
      </c>
      <c r="F413">
        <f t="shared" si="132"/>
        <v>11.111111111111111</v>
      </c>
      <c r="G413">
        <f t="shared" si="132"/>
        <v>11.111111111111111</v>
      </c>
      <c r="H413">
        <v>1.7000000000000001E-2</v>
      </c>
      <c r="I413">
        <f t="shared" si="133"/>
        <v>1.457471148458275</v>
      </c>
      <c r="K413">
        <f t="shared" si="134"/>
        <v>3.0959924944834665</v>
      </c>
      <c r="L413">
        <v>6</v>
      </c>
      <c r="M413">
        <v>4032.92</v>
      </c>
      <c r="N413">
        <f t="shared" si="135"/>
        <v>1.6066666666666708E-2</v>
      </c>
      <c r="O413">
        <v>4035</v>
      </c>
      <c r="P413">
        <f t="shared" si="136"/>
        <v>1.7222222222222226E-2</v>
      </c>
      <c r="Q413">
        <v>4034.55</v>
      </c>
      <c r="R413">
        <f t="shared" si="137"/>
        <v>1.6972222222222322E-2</v>
      </c>
      <c r="S413">
        <v>4038</v>
      </c>
      <c r="T413">
        <f t="shared" si="138"/>
        <v>1.8888888888888889E-2</v>
      </c>
      <c r="U413">
        <f t="shared" si="139"/>
        <v>5.1453747338739231E-7</v>
      </c>
      <c r="V413">
        <v>6</v>
      </c>
      <c r="W413" s="19">
        <v>4036.41</v>
      </c>
      <c r="X413" s="19">
        <f t="shared" si="140"/>
        <v>1.8005555555555476E-2</v>
      </c>
      <c r="Y413" s="19">
        <v>4034.81</v>
      </c>
      <c r="Z413" s="19">
        <f t="shared" si="141"/>
        <v>1.7116666666666634E-2</v>
      </c>
      <c r="AA413" s="19">
        <v>4037.47</v>
      </c>
      <c r="AB413" s="19">
        <f t="shared" si="142"/>
        <v>1.8594444444444334E-2</v>
      </c>
      <c r="AC413" s="19">
        <v>4039</v>
      </c>
      <c r="AD413" s="19">
        <f t="shared" si="143"/>
        <v>1.9444444444444445E-2</v>
      </c>
      <c r="AE413">
        <v>4032.69</v>
      </c>
      <c r="AF413" s="19">
        <f t="shared" si="144"/>
        <v>1.5938888888888919E-2</v>
      </c>
      <c r="AG413">
        <v>6</v>
      </c>
    </row>
    <row r="414" spans="3:33" x14ac:dyDescent="0.25">
      <c r="C414">
        <v>7</v>
      </c>
      <c r="D414">
        <v>100</v>
      </c>
      <c r="E414">
        <f t="shared" si="132"/>
        <v>600</v>
      </c>
      <c r="F414">
        <f t="shared" si="132"/>
        <v>10</v>
      </c>
      <c r="G414">
        <f t="shared" si="132"/>
        <v>10</v>
      </c>
      <c r="H414">
        <v>1.498E-2</v>
      </c>
      <c r="I414">
        <f t="shared" si="133"/>
        <v>1.619412387175861</v>
      </c>
      <c r="K414">
        <f t="shared" si="134"/>
        <v>4.2469032846138086</v>
      </c>
      <c r="L414">
        <v>7</v>
      </c>
      <c r="M414">
        <v>4029.18</v>
      </c>
      <c r="N414">
        <f t="shared" si="135"/>
        <v>1.3988888888888797E-2</v>
      </c>
      <c r="O414">
        <v>4030</v>
      </c>
      <c r="P414">
        <f t="shared" si="136"/>
        <v>1.4444444444444446E-2</v>
      </c>
      <c r="Q414">
        <v>4030</v>
      </c>
      <c r="R414">
        <f t="shared" si="137"/>
        <v>1.4444444444444446E-2</v>
      </c>
      <c r="S414">
        <v>4030</v>
      </c>
      <c r="T414">
        <f t="shared" si="138"/>
        <v>1.4444444444444446E-2</v>
      </c>
      <c r="U414">
        <f t="shared" si="139"/>
        <v>5.717083037637692E-7</v>
      </c>
      <c r="V414">
        <v>7</v>
      </c>
      <c r="W414" s="19">
        <v>4034.13</v>
      </c>
      <c r="X414" s="19">
        <f t="shared" si="140"/>
        <v>1.6738888888888952E-2</v>
      </c>
      <c r="Y414" s="19">
        <v>4033.84</v>
      </c>
      <c r="Z414" s="19">
        <f t="shared" si="141"/>
        <v>1.6577777777777858E-2</v>
      </c>
      <c r="AA414" s="19">
        <v>4030.33</v>
      </c>
      <c r="AB414" s="19">
        <f t="shared" si="142"/>
        <v>1.4627777777777738E-2</v>
      </c>
      <c r="AC414" s="19">
        <v>4030.62</v>
      </c>
      <c r="AD414" s="19">
        <f t="shared" si="143"/>
        <v>1.4788888888888827E-2</v>
      </c>
      <c r="AE414">
        <v>4030.62</v>
      </c>
      <c r="AF414" s="19">
        <f t="shared" si="144"/>
        <v>1.4788888888888827E-2</v>
      </c>
      <c r="AG414">
        <v>7</v>
      </c>
    </row>
    <row r="415" spans="3:33" x14ac:dyDescent="0.25">
      <c r="C415">
        <v>8</v>
      </c>
      <c r="D415">
        <v>110</v>
      </c>
      <c r="E415">
        <f t="shared" si="132"/>
        <v>545.4545454545455</v>
      </c>
      <c r="F415">
        <f t="shared" si="132"/>
        <v>9.0909090909090917</v>
      </c>
      <c r="G415">
        <f t="shared" si="132"/>
        <v>9.0909090909090917</v>
      </c>
      <c r="H415">
        <v>1.47E-2</v>
      </c>
      <c r="I415">
        <f t="shared" si="133"/>
        <v>1.7813536258934473</v>
      </c>
      <c r="K415">
        <f t="shared" si="134"/>
        <v>5.6526282718209799</v>
      </c>
      <c r="L415">
        <v>8</v>
      </c>
      <c r="M415">
        <v>4025.7</v>
      </c>
      <c r="N415">
        <f t="shared" si="135"/>
        <v>1.2055555555555455E-2</v>
      </c>
      <c r="O415">
        <v>4026</v>
      </c>
      <c r="P415">
        <f t="shared" si="136"/>
        <v>1.2222222222222221E-2</v>
      </c>
      <c r="Q415">
        <v>4026</v>
      </c>
      <c r="R415">
        <f t="shared" si="137"/>
        <v>1.2222222222222221E-2</v>
      </c>
      <c r="S415">
        <v>4026</v>
      </c>
      <c r="T415">
        <f t="shared" si="138"/>
        <v>1.2222222222222221E-2</v>
      </c>
      <c r="U415">
        <f t="shared" si="139"/>
        <v>6.2887913414014609E-7</v>
      </c>
      <c r="V415">
        <v>8</v>
      </c>
      <c r="W415" s="19">
        <v>4027.32</v>
      </c>
      <c r="X415" s="19">
        <f t="shared" si="140"/>
        <v>1.2955555555555645E-2</v>
      </c>
      <c r="Y415" s="19">
        <v>4026.35</v>
      </c>
      <c r="Z415" s="19">
        <f t="shared" si="141"/>
        <v>1.2416666666666616E-2</v>
      </c>
      <c r="AA415" s="19">
        <v>4026.35</v>
      </c>
      <c r="AB415" s="19">
        <f t="shared" si="142"/>
        <v>1.2416666666666616E-2</v>
      </c>
      <c r="AC415" s="19">
        <v>4026.67</v>
      </c>
      <c r="AD415" s="19">
        <f t="shared" si="143"/>
        <v>1.2594444444444484E-2</v>
      </c>
      <c r="AE415">
        <v>4025.7</v>
      </c>
      <c r="AF415" s="19">
        <f t="shared" si="144"/>
        <v>1.2055555555555455E-2</v>
      </c>
      <c r="AG415">
        <v>8</v>
      </c>
    </row>
    <row r="416" spans="3:33" x14ac:dyDescent="0.25">
      <c r="C416">
        <v>9</v>
      </c>
      <c r="D416">
        <v>120</v>
      </c>
      <c r="E416">
        <f t="shared" si="132"/>
        <v>500</v>
      </c>
      <c r="F416">
        <f t="shared" si="132"/>
        <v>8.3333333333333339</v>
      </c>
      <c r="G416">
        <f t="shared" si="132"/>
        <v>8.3333333333333339</v>
      </c>
      <c r="H416">
        <v>1.2999999999999999E-2</v>
      </c>
      <c r="I416">
        <f t="shared" si="133"/>
        <v>1.9432948646110333</v>
      </c>
      <c r="K416">
        <f t="shared" si="134"/>
        <v>7.3386488758126616</v>
      </c>
      <c r="L416">
        <v>9</v>
      </c>
      <c r="M416">
        <v>4022.36</v>
      </c>
      <c r="N416">
        <f t="shared" si="135"/>
        <v>1.020000000000007E-2</v>
      </c>
      <c r="O416">
        <v>4024</v>
      </c>
      <c r="P416">
        <f t="shared" si="136"/>
        <v>1.111111111111111E-2</v>
      </c>
      <c r="Q416">
        <v>4023.8</v>
      </c>
      <c r="R416">
        <f t="shared" si="137"/>
        <v>1.10000000000001E-2</v>
      </c>
      <c r="S416">
        <v>4024</v>
      </c>
      <c r="T416">
        <f t="shared" si="138"/>
        <v>1.111111111111111E-2</v>
      </c>
      <c r="U416">
        <f t="shared" si="139"/>
        <v>6.8604996451652297E-7</v>
      </c>
      <c r="V416">
        <v>9</v>
      </c>
      <c r="W416" s="19">
        <v>4023.44</v>
      </c>
      <c r="X416" s="19">
        <f t="shared" si="140"/>
        <v>1.080000000000003E-2</v>
      </c>
      <c r="Y416" s="19">
        <v>4025.24</v>
      </c>
      <c r="Z416" s="19">
        <f t="shared" si="141"/>
        <v>1.1799999999999878E-2</v>
      </c>
      <c r="AA416" s="19">
        <v>4022.72</v>
      </c>
      <c r="AB416" s="19">
        <f t="shared" si="142"/>
        <v>1.0399999999999889E-2</v>
      </c>
      <c r="AC416" s="19">
        <v>4023</v>
      </c>
      <c r="AD416" s="19">
        <f t="shared" si="143"/>
        <v>1.0555555555555556E-2</v>
      </c>
      <c r="AE416">
        <v>4022.36</v>
      </c>
      <c r="AF416" s="19">
        <f t="shared" si="144"/>
        <v>1.020000000000007E-2</v>
      </c>
      <c r="AG416">
        <v>9</v>
      </c>
    </row>
    <row r="417" spans="3:37" x14ac:dyDescent="0.25">
      <c r="X417" s="12" t="s">
        <v>142</v>
      </c>
      <c r="Z417" s="12">
        <v>10</v>
      </c>
      <c r="AA417" s="12"/>
      <c r="AB417" s="12">
        <v>0.1</v>
      </c>
      <c r="AC417" s="12"/>
      <c r="AD417" s="12">
        <v>1</v>
      </c>
      <c r="AE417" s="12"/>
      <c r="AF417" s="12">
        <v>100</v>
      </c>
    </row>
    <row r="418" spans="3:37" x14ac:dyDescent="0.25">
      <c r="C418">
        <v>0</v>
      </c>
      <c r="D418">
        <v>16</v>
      </c>
      <c r="E418">
        <f t="shared" ref="E418:G426" si="145">E$391/$D418</f>
        <v>3750</v>
      </c>
      <c r="F418">
        <f t="shared" si="145"/>
        <v>62.5</v>
      </c>
      <c r="G418">
        <f t="shared" si="145"/>
        <v>62.5</v>
      </c>
      <c r="H418">
        <v>8.2000000000000007E-3</v>
      </c>
      <c r="I418">
        <f t="shared" ref="I418:I426" si="146">D418*$I$390^(1/3)*10^(-10)</f>
        <v>0.25910598194813778</v>
      </c>
      <c r="K418">
        <f t="shared" ref="K418:K426" si="147">$I$390*D418^3*10^(-30)</f>
        <v>1.7395315853778161E-2</v>
      </c>
      <c r="L418">
        <v>2</v>
      </c>
      <c r="V418">
        <v>10</v>
      </c>
      <c r="W418">
        <v>0.32388247743517218</v>
      </c>
      <c r="X418" s="19">
        <f>X405*100</f>
        <v>5.0761111111111052</v>
      </c>
      <c r="Z418" s="19">
        <f>Z405*100</f>
        <v>3.0083333333333386</v>
      </c>
      <c r="AB418" s="19">
        <f>AB405*100</f>
        <v>4.4805555555555614</v>
      </c>
      <c r="AD418" s="19">
        <f>AD405*100</f>
        <v>4.4444444444444438</v>
      </c>
      <c r="AF418" s="19">
        <f>AF405*100</f>
        <v>0.79555555555556468</v>
      </c>
    </row>
    <row r="419" spans="3:37" x14ac:dyDescent="0.25">
      <c r="C419">
        <v>1</v>
      </c>
      <c r="D419">
        <v>17</v>
      </c>
      <c r="E419">
        <f t="shared" si="145"/>
        <v>3529.4117647058824</v>
      </c>
      <c r="F419">
        <f t="shared" si="145"/>
        <v>58.823529411764703</v>
      </c>
      <c r="G419">
        <f t="shared" si="145"/>
        <v>58.823529411764703</v>
      </c>
      <c r="H419">
        <v>8.8999999999999999E-3</v>
      </c>
      <c r="I419">
        <f t="shared" si="146"/>
        <v>0.27530010581989639</v>
      </c>
      <c r="K419">
        <f t="shared" si="147"/>
        <v>2.0865035837307644E-2</v>
      </c>
      <c r="L419">
        <v>2</v>
      </c>
      <c r="V419">
        <v>11</v>
      </c>
      <c r="W419">
        <v>0.40485309679396525</v>
      </c>
      <c r="X419" s="19">
        <f t="shared" ref="X419:X429" si="148">X406*100</f>
        <v>5.2166666666666464</v>
      </c>
      <c r="Z419" s="19">
        <f t="shared" ref="Z419:Z429" si="149">Z406*100</f>
        <v>3.626666666666678</v>
      </c>
      <c r="AB419" s="19">
        <f t="shared" ref="AB419:AB429" si="150">AB406*100</f>
        <v>5.2533333333333561</v>
      </c>
      <c r="AD419" s="19">
        <f t="shared" ref="AD419:AD429" si="151">AD406*100</f>
        <v>4.833333333333333</v>
      </c>
      <c r="AF419" s="19">
        <f t="shared" ref="AF419:AF429" si="152">AF406*100</f>
        <v>1.2222222222222221</v>
      </c>
    </row>
    <row r="420" spans="3:37" x14ac:dyDescent="0.25">
      <c r="C420">
        <v>2</v>
      </c>
      <c r="D420">
        <v>18</v>
      </c>
      <c r="E420">
        <f t="shared" si="145"/>
        <v>3333.3333333333335</v>
      </c>
      <c r="F420">
        <f t="shared" si="145"/>
        <v>55.555555555555557</v>
      </c>
      <c r="G420">
        <f t="shared" si="145"/>
        <v>55.555555555555557</v>
      </c>
      <c r="H420">
        <v>5.7000000000000002E-3</v>
      </c>
      <c r="I420">
        <f t="shared" si="146"/>
        <v>0.291494229691655</v>
      </c>
      <c r="K420">
        <f t="shared" si="147"/>
        <v>2.4767939955867735E-2</v>
      </c>
      <c r="L420">
        <v>2</v>
      </c>
      <c r="V420">
        <v>0</v>
      </c>
      <c r="W420">
        <v>0.48582371615275832</v>
      </c>
      <c r="X420" s="19">
        <f t="shared" si="148"/>
        <v>5.9299999999999882</v>
      </c>
      <c r="Z420" s="19">
        <f t="shared" si="149"/>
        <v>4.417222222222235</v>
      </c>
      <c r="AB420" s="19">
        <f t="shared" si="150"/>
        <v>5.5505555555555475</v>
      </c>
      <c r="AD420" s="19">
        <f t="shared" si="151"/>
        <v>5.5</v>
      </c>
      <c r="AF420" s="19">
        <f t="shared" si="152"/>
        <v>1.7644444444444567</v>
      </c>
    </row>
    <row r="421" spans="3:37" x14ac:dyDescent="0.25">
      <c r="C421">
        <v>3</v>
      </c>
      <c r="D421">
        <v>20</v>
      </c>
      <c r="E421">
        <f t="shared" si="145"/>
        <v>3000</v>
      </c>
      <c r="F421">
        <f t="shared" si="145"/>
        <v>50</v>
      </c>
      <c r="G421">
        <f t="shared" si="145"/>
        <v>50</v>
      </c>
      <c r="H421">
        <v>6.7999999999999996E-3</v>
      </c>
      <c r="I421">
        <f t="shared" si="146"/>
        <v>0.32388247743517218</v>
      </c>
      <c r="K421">
        <f t="shared" si="147"/>
        <v>3.3975226276910471E-2</v>
      </c>
      <c r="L421">
        <v>2</v>
      </c>
      <c r="V421">
        <v>1</v>
      </c>
      <c r="W421">
        <v>0.64776495487034436</v>
      </c>
      <c r="X421" s="19">
        <f t="shared" si="148"/>
        <v>4.8672222222222299</v>
      </c>
      <c r="Z421" s="19">
        <f t="shared" si="149"/>
        <v>4.257777777777771</v>
      </c>
      <c r="AB421" s="19">
        <f t="shared" si="150"/>
        <v>4.5594444444444537</v>
      </c>
      <c r="AD421" s="19">
        <f t="shared" si="151"/>
        <v>4.9444444444444446</v>
      </c>
      <c r="AF421" s="19">
        <f t="shared" si="152"/>
        <v>2.0138888888888888</v>
      </c>
    </row>
    <row r="422" spans="3:37" x14ac:dyDescent="0.25">
      <c r="C422">
        <v>4</v>
      </c>
      <c r="D422">
        <v>55</v>
      </c>
      <c r="E422">
        <f t="shared" si="145"/>
        <v>1090.909090909091</v>
      </c>
      <c r="F422">
        <f t="shared" si="145"/>
        <v>18.181818181818183</v>
      </c>
      <c r="G422">
        <f t="shared" si="145"/>
        <v>18.181818181818183</v>
      </c>
      <c r="H422">
        <v>2.4799999999999999E-2</v>
      </c>
      <c r="I422">
        <f t="shared" si="146"/>
        <v>0.89067681294672363</v>
      </c>
      <c r="K422">
        <f t="shared" si="147"/>
        <v>0.70657853397762249</v>
      </c>
      <c r="L422">
        <v>2</v>
      </c>
      <c r="V422">
        <v>2</v>
      </c>
      <c r="W422">
        <v>0.8097061935879305</v>
      </c>
      <c r="X422" s="19">
        <f t="shared" si="148"/>
        <v>3.9916666666666614</v>
      </c>
      <c r="Z422" s="19">
        <f t="shared" si="149"/>
        <v>3.6405555555555669</v>
      </c>
      <c r="AB422" s="19">
        <f t="shared" si="150"/>
        <v>3.7872222222222267</v>
      </c>
      <c r="AD422" s="19">
        <f t="shared" si="151"/>
        <v>3.833333333333333</v>
      </c>
      <c r="AF422" s="19">
        <f t="shared" si="152"/>
        <v>2.4894444444444419</v>
      </c>
    </row>
    <row r="423" spans="3:37" x14ac:dyDescent="0.25">
      <c r="C423">
        <v>5</v>
      </c>
      <c r="D423">
        <v>58</v>
      </c>
      <c r="E423">
        <f t="shared" si="145"/>
        <v>1034.4827586206898</v>
      </c>
      <c r="F423">
        <f t="shared" si="145"/>
        <v>17.241379310344829</v>
      </c>
      <c r="G423">
        <f t="shared" si="145"/>
        <v>17.241379310344829</v>
      </c>
      <c r="H423">
        <v>2.4E-2</v>
      </c>
      <c r="I423">
        <f t="shared" si="146"/>
        <v>0.93925918456199931</v>
      </c>
      <c r="K423">
        <f t="shared" si="147"/>
        <v>0.82862179366756938</v>
      </c>
      <c r="L423">
        <v>2</v>
      </c>
      <c r="V423">
        <v>3</v>
      </c>
      <c r="W423">
        <v>0.97164743230551665</v>
      </c>
      <c r="X423" s="19">
        <f t="shared" si="148"/>
        <v>3.1049999999999929</v>
      </c>
      <c r="Z423" s="19">
        <f t="shared" si="149"/>
        <v>2.9844444444444331</v>
      </c>
      <c r="AB423" s="19">
        <f t="shared" si="150"/>
        <v>2.9244444444444371</v>
      </c>
      <c r="AD423" s="19">
        <f t="shared" si="151"/>
        <v>2.9744444444444422</v>
      </c>
      <c r="AF423" s="19">
        <f t="shared" si="152"/>
        <v>2.333333333333333</v>
      </c>
    </row>
    <row r="424" spans="3:37" x14ac:dyDescent="0.25">
      <c r="C424">
        <v>6</v>
      </c>
      <c r="D424">
        <v>66</v>
      </c>
      <c r="E424">
        <f t="shared" si="145"/>
        <v>909.09090909090912</v>
      </c>
      <c r="F424">
        <f t="shared" si="145"/>
        <v>15.151515151515152</v>
      </c>
      <c r="G424">
        <f t="shared" si="145"/>
        <v>15.151515151515152</v>
      </c>
      <c r="H424">
        <v>2.2499999999999999E-2</v>
      </c>
      <c r="I424">
        <f t="shared" si="146"/>
        <v>1.0688121755360684</v>
      </c>
      <c r="K424">
        <f t="shared" si="147"/>
        <v>1.2209677067133315</v>
      </c>
      <c r="L424">
        <v>2</v>
      </c>
      <c r="V424">
        <v>4</v>
      </c>
      <c r="W424">
        <v>1.1335886710231029</v>
      </c>
      <c r="X424" s="19">
        <f t="shared" si="148"/>
        <v>2.6116666666666788</v>
      </c>
      <c r="Z424" s="19">
        <f t="shared" si="149"/>
        <v>2.6583333333333283</v>
      </c>
      <c r="AB424" s="19">
        <f t="shared" si="150"/>
        <v>2.4733333333333323</v>
      </c>
      <c r="AD424" s="19">
        <f t="shared" si="151"/>
        <v>2.6111111111111107</v>
      </c>
      <c r="AF424" s="19">
        <f t="shared" si="152"/>
        <v>2.1499999999999901</v>
      </c>
    </row>
    <row r="425" spans="3:37" x14ac:dyDescent="0.25">
      <c r="C425">
        <v>7</v>
      </c>
      <c r="D425">
        <v>140</v>
      </c>
      <c r="E425">
        <f t="shared" si="145"/>
        <v>428.57142857142856</v>
      </c>
      <c r="F425">
        <f t="shared" si="145"/>
        <v>7.1428571428571432</v>
      </c>
      <c r="G425">
        <f t="shared" si="145"/>
        <v>7.1428571428571432</v>
      </c>
      <c r="H425">
        <v>8.7899999999999992E-3</v>
      </c>
      <c r="I425">
        <f t="shared" si="146"/>
        <v>2.2671773420462058</v>
      </c>
      <c r="K425">
        <f t="shared" si="147"/>
        <v>11.653502612980292</v>
      </c>
      <c r="L425">
        <v>2</v>
      </c>
      <c r="V425">
        <v>5</v>
      </c>
      <c r="W425">
        <v>1.2955299097406887</v>
      </c>
      <c r="X425" s="19">
        <f t="shared" si="148"/>
        <v>2.1266666666666776</v>
      </c>
      <c r="Z425" s="19">
        <f t="shared" si="149"/>
        <v>2.2205555555555443</v>
      </c>
      <c r="AB425" s="19">
        <f t="shared" si="150"/>
        <v>2.0200000000000067</v>
      </c>
      <c r="AD425" s="19">
        <f t="shared" si="151"/>
        <v>2.0555555555555558</v>
      </c>
      <c r="AF425" s="19">
        <f t="shared" si="152"/>
        <v>1.8727777777777799</v>
      </c>
    </row>
    <row r="426" spans="3:37" x14ac:dyDescent="0.25">
      <c r="C426">
        <v>8</v>
      </c>
      <c r="D426">
        <v>165</v>
      </c>
      <c r="E426">
        <f t="shared" si="145"/>
        <v>363.63636363636363</v>
      </c>
      <c r="F426">
        <f t="shared" si="145"/>
        <v>6.0606060606060606</v>
      </c>
      <c r="G426">
        <f t="shared" si="145"/>
        <v>6.0606060606060606</v>
      </c>
      <c r="H426">
        <v>8.5000000000000006E-3</v>
      </c>
      <c r="I426">
        <f t="shared" si="146"/>
        <v>2.6720304388401708</v>
      </c>
      <c r="K426">
        <f t="shared" si="147"/>
        <v>19.077620417395806</v>
      </c>
      <c r="L426">
        <v>2</v>
      </c>
      <c r="V426">
        <v>6</v>
      </c>
      <c r="W426">
        <v>1.457471148458275</v>
      </c>
      <c r="X426" s="19">
        <f t="shared" si="148"/>
        <v>1.8005555555555477</v>
      </c>
      <c r="Z426" s="19">
        <f t="shared" si="149"/>
        <v>1.7116666666666633</v>
      </c>
      <c r="AB426" s="19">
        <f t="shared" si="150"/>
        <v>1.8594444444444334</v>
      </c>
      <c r="AD426" s="19">
        <f t="shared" si="151"/>
        <v>1.9444444444444444</v>
      </c>
      <c r="AF426" s="19">
        <f t="shared" si="152"/>
        <v>1.593888888888892</v>
      </c>
    </row>
    <row r="427" spans="3:37" x14ac:dyDescent="0.25">
      <c r="V427">
        <v>7</v>
      </c>
      <c r="W427">
        <v>1.619412387175861</v>
      </c>
      <c r="X427" s="19">
        <f t="shared" si="148"/>
        <v>1.6738888888888952</v>
      </c>
      <c r="Z427" s="19">
        <f t="shared" si="149"/>
        <v>1.6577777777777858</v>
      </c>
      <c r="AB427" s="19">
        <f t="shared" si="150"/>
        <v>1.4627777777777737</v>
      </c>
      <c r="AD427" s="19">
        <f t="shared" si="151"/>
        <v>1.4788888888888827</v>
      </c>
      <c r="AF427" s="19">
        <f t="shared" si="152"/>
        <v>1.4788888888888827</v>
      </c>
    </row>
    <row r="428" spans="3:37" x14ac:dyDescent="0.25">
      <c r="V428">
        <v>8</v>
      </c>
      <c r="W428">
        <v>1.7813536258934473</v>
      </c>
      <c r="X428" s="19">
        <f t="shared" si="148"/>
        <v>1.2955555555555645</v>
      </c>
      <c r="Z428" s="19">
        <f t="shared" si="149"/>
        <v>1.2416666666666616</v>
      </c>
      <c r="AB428" s="19">
        <f t="shared" si="150"/>
        <v>1.2416666666666616</v>
      </c>
      <c r="AD428" s="19">
        <f t="shared" si="151"/>
        <v>1.2594444444444484</v>
      </c>
      <c r="AF428" s="19">
        <f t="shared" si="152"/>
        <v>1.2055555555555455</v>
      </c>
    </row>
    <row r="429" spans="3:37" x14ac:dyDescent="0.25">
      <c r="V429">
        <v>9</v>
      </c>
      <c r="W429">
        <v>1.9432948646110333</v>
      </c>
      <c r="X429" s="19">
        <f t="shared" si="148"/>
        <v>1.080000000000003</v>
      </c>
      <c r="Z429" s="19">
        <f t="shared" si="149"/>
        <v>1.1799999999999877</v>
      </c>
      <c r="AB429" s="19">
        <f t="shared" si="150"/>
        <v>1.0399999999999889</v>
      </c>
      <c r="AD429" s="19">
        <f t="shared" si="151"/>
        <v>1.0555555555555556</v>
      </c>
      <c r="AF429" s="19">
        <f t="shared" si="152"/>
        <v>1.0200000000000071</v>
      </c>
    </row>
    <row r="430" spans="3:37" x14ac:dyDescent="0.25">
      <c r="AF430" t="s">
        <v>236</v>
      </c>
      <c r="AG430" t="s">
        <v>237</v>
      </c>
      <c r="AH430" t="s">
        <v>238</v>
      </c>
      <c r="AI430" t="s">
        <v>239</v>
      </c>
      <c r="AJ430" t="s">
        <v>240</v>
      </c>
      <c r="AK430" t="s">
        <v>241</v>
      </c>
    </row>
    <row r="431" spans="3:37" x14ac:dyDescent="0.25">
      <c r="W431" t="s">
        <v>232</v>
      </c>
      <c r="AB431" t="s">
        <v>233</v>
      </c>
      <c r="AD431" s="66">
        <f>I461*$I$458*10^10</f>
        <v>0.15643430182226808</v>
      </c>
      <c r="AE431" s="17" t="s">
        <v>235</v>
      </c>
      <c r="AF431" s="19">
        <f>AG431*60</f>
        <v>1800</v>
      </c>
      <c r="AG431">
        <v>30</v>
      </c>
      <c r="AH431">
        <f>AG431/60</f>
        <v>0.5</v>
      </c>
      <c r="AI431">
        <f>AG431/60/24</f>
        <v>2.0833333333333332E-2</v>
      </c>
      <c r="AJ431" s="68">
        <v>250000</v>
      </c>
      <c r="AK431" s="67">
        <f>AF431</f>
        <v>1800</v>
      </c>
    </row>
    <row r="432" spans="3:37" x14ac:dyDescent="0.25">
      <c r="X432" s="12" t="s">
        <v>142</v>
      </c>
      <c r="Z432" s="12">
        <v>10</v>
      </c>
      <c r="AA432" s="12"/>
      <c r="AB432" s="12">
        <v>0.1</v>
      </c>
      <c r="AC432" s="12"/>
      <c r="AD432" s="12">
        <v>1</v>
      </c>
      <c r="AE432" s="12"/>
      <c r="AF432" s="12">
        <v>100</v>
      </c>
    </row>
    <row r="433" spans="3:37" x14ac:dyDescent="0.25">
      <c r="V433">
        <v>10</v>
      </c>
      <c r="W433">
        <v>0.32388247743517218</v>
      </c>
      <c r="X433" s="19">
        <f>(W405-$M$404)/$AD$431/$AK$431</f>
        <v>0.32448836680834225</v>
      </c>
      <c r="Y433" s="19"/>
      <c r="Z433" s="19">
        <f t="shared" ref="Z433:AF433" si="153">(Y405-$M$404)/$AD$431/$AK$431</f>
        <v>0.19230650172564065</v>
      </c>
      <c r="AA433" s="19"/>
      <c r="AB433" s="19">
        <f t="shared" si="153"/>
        <v>0.28641771678989675</v>
      </c>
      <c r="AC433" s="19"/>
      <c r="AD433" s="19">
        <f t="shared" si="153"/>
        <v>0.28410932849586751</v>
      </c>
      <c r="AE433" s="19"/>
      <c r="AF433" s="19">
        <f t="shared" si="153"/>
        <v>5.0855569800760864E-2</v>
      </c>
      <c r="AH433" s="89" t="s">
        <v>242</v>
      </c>
      <c r="AI433" s="89"/>
      <c r="AJ433" s="89"/>
      <c r="AK433" s="89"/>
    </row>
    <row r="434" spans="3:37" x14ac:dyDescent="0.25">
      <c r="V434">
        <v>11</v>
      </c>
      <c r="W434">
        <v>0.40485309679396525</v>
      </c>
      <c r="X434" s="19">
        <f t="shared" ref="X434:AF434" si="154">(W406-$M$404)/$AD$431/$AK$431</f>
        <v>0.33347332432202315</v>
      </c>
      <c r="Y434" s="19"/>
      <c r="Z434" s="19">
        <f t="shared" si="154"/>
        <v>0.23183321205262858</v>
      </c>
      <c r="AA434" s="19"/>
      <c r="AB434" s="19">
        <f t="shared" si="154"/>
        <v>0.33581722628211674</v>
      </c>
      <c r="AC434" s="19"/>
      <c r="AD434" s="19">
        <f t="shared" si="154"/>
        <v>0.30896889473925587</v>
      </c>
      <c r="AE434" s="19"/>
      <c r="AF434" s="19">
        <f t="shared" si="154"/>
        <v>7.8130065336363561E-2</v>
      </c>
      <c r="AH434" s="89"/>
      <c r="AI434" s="89"/>
      <c r="AJ434" s="89"/>
      <c r="AK434" s="89"/>
    </row>
    <row r="435" spans="3:37" x14ac:dyDescent="0.25">
      <c r="V435">
        <v>0</v>
      </c>
      <c r="W435">
        <v>0.48582371615275832</v>
      </c>
      <c r="X435" s="19">
        <f t="shared" ref="X435:AF435" si="155">(W407-$M$404)/$AD$431/$AK$431</f>
        <v>0.37907287154561042</v>
      </c>
      <c r="Y435" s="19"/>
      <c r="Z435" s="19">
        <f t="shared" si="155"/>
        <v>0.28236915885883107</v>
      </c>
      <c r="AA435" s="19"/>
      <c r="AB435" s="19">
        <f t="shared" si="155"/>
        <v>0.35481703762527594</v>
      </c>
      <c r="AC435" s="19"/>
      <c r="AD435" s="19">
        <f t="shared" si="155"/>
        <v>0.35158529401363597</v>
      </c>
      <c r="AE435" s="19"/>
      <c r="AF435" s="19">
        <f t="shared" si="155"/>
        <v>0.11279140341286018</v>
      </c>
      <c r="AH435" s="89"/>
      <c r="AI435" s="89"/>
      <c r="AJ435" s="89"/>
      <c r="AK435" s="89"/>
    </row>
    <row r="436" spans="3:37" x14ac:dyDescent="0.25">
      <c r="V436">
        <v>1</v>
      </c>
      <c r="W436">
        <v>0.64776495487034436</v>
      </c>
      <c r="X436" s="19">
        <f t="shared" ref="X436:AF436" si="156">(W408-$M$404)/$AD$431/$AK$431</f>
        <v>0.31113522836903729</v>
      </c>
      <c r="Y436" s="19"/>
      <c r="Z436" s="19">
        <f t="shared" si="156"/>
        <v>0.27217673669904058</v>
      </c>
      <c r="AA436" s="19"/>
      <c r="AB436" s="19">
        <f t="shared" si="156"/>
        <v>0.29146065737069865</v>
      </c>
      <c r="AC436" s="19"/>
      <c r="AD436" s="19">
        <f t="shared" si="156"/>
        <v>0.31607162795165261</v>
      </c>
      <c r="AE436" s="19"/>
      <c r="AF436" s="19">
        <f t="shared" si="156"/>
        <v>0.12873703947468995</v>
      </c>
      <c r="AH436" s="89"/>
      <c r="AI436" s="89"/>
      <c r="AJ436" s="89"/>
      <c r="AK436" s="89"/>
    </row>
    <row r="437" spans="3:37" x14ac:dyDescent="0.25">
      <c r="V437">
        <v>2</v>
      </c>
      <c r="W437">
        <v>0.8097061935879305</v>
      </c>
      <c r="X437" s="19">
        <f t="shared" ref="X437:AF437" si="157">(W409-$M$404)/$AD$431/$AK$431</f>
        <v>0.25516569065535066</v>
      </c>
      <c r="Y437" s="19"/>
      <c r="Z437" s="19">
        <f t="shared" si="157"/>
        <v>0.23272105370417817</v>
      </c>
      <c r="AA437" s="19"/>
      <c r="AB437" s="19">
        <f t="shared" si="157"/>
        <v>0.24209666154454135</v>
      </c>
      <c r="AC437" s="19"/>
      <c r="AD437" s="19">
        <f t="shared" si="157"/>
        <v>0.24504429582768569</v>
      </c>
      <c r="AE437" s="19"/>
      <c r="AF437" s="19">
        <f t="shared" si="157"/>
        <v>0.15913673762374758</v>
      </c>
      <c r="AH437" s="89"/>
      <c r="AI437" s="89"/>
      <c r="AJ437" s="89"/>
      <c r="AK437" s="89"/>
    </row>
    <row r="438" spans="3:37" x14ac:dyDescent="0.25">
      <c r="V438">
        <v>3</v>
      </c>
      <c r="W438">
        <v>0.97164743230551665</v>
      </c>
      <c r="X438" s="19">
        <f t="shared" ref="X438:AF438" si="158">(W410-$M$404)/$AD$431/$AK$431</f>
        <v>0.19848587962042497</v>
      </c>
      <c r="Y438" s="19"/>
      <c r="Z438" s="19">
        <f t="shared" si="158"/>
        <v>0.19077941408497429</v>
      </c>
      <c r="AA438" s="19"/>
      <c r="AB438" s="19">
        <f t="shared" si="158"/>
        <v>0.18694393815028035</v>
      </c>
      <c r="AC438" s="19"/>
      <c r="AD438" s="19">
        <f t="shared" si="158"/>
        <v>0.19014016809585918</v>
      </c>
      <c r="AE438" s="19"/>
      <c r="AF438" s="19">
        <f t="shared" si="158"/>
        <v>0.14915739746033044</v>
      </c>
      <c r="AH438" s="89"/>
      <c r="AI438" s="89"/>
      <c r="AJ438" s="89"/>
      <c r="AK438" s="89"/>
    </row>
    <row r="439" spans="3:37" x14ac:dyDescent="0.25">
      <c r="V439">
        <v>4</v>
      </c>
      <c r="W439">
        <v>1.1335886710231029</v>
      </c>
      <c r="X439" s="19">
        <f t="shared" ref="X439:AF439" si="159">(W411-$M$404)/$AD$431/$AK$431</f>
        <v>0.16694974415738489</v>
      </c>
      <c r="Y439" s="19"/>
      <c r="Z439" s="19">
        <f t="shared" si="159"/>
        <v>0.16993289210659043</v>
      </c>
      <c r="AA439" s="19"/>
      <c r="AB439" s="19">
        <f t="shared" si="159"/>
        <v>0.15810684130795019</v>
      </c>
      <c r="AC439" s="19"/>
      <c r="AD439" s="19">
        <f t="shared" si="159"/>
        <v>0.16691423049132212</v>
      </c>
      <c r="AE439" s="19"/>
      <c r="AF439" s="19">
        <f t="shared" si="159"/>
        <v>0.13743788765987525</v>
      </c>
      <c r="AH439" s="89"/>
      <c r="AI439" s="89"/>
      <c r="AJ439" s="89"/>
      <c r="AK439" s="89"/>
    </row>
    <row r="440" spans="3:37" x14ac:dyDescent="0.25">
      <c r="V440">
        <v>5</v>
      </c>
      <c r="W440">
        <v>1.2955299097406887</v>
      </c>
      <c r="X440" s="19">
        <f t="shared" ref="X440:AF440" si="160">(W412-$M$404)/$AD$431/$AK$431</f>
        <v>0.1359463136852733</v>
      </c>
      <c r="Y440" s="19"/>
      <c r="Z440" s="19">
        <f t="shared" si="160"/>
        <v>0.14194812324974709</v>
      </c>
      <c r="AA440" s="19"/>
      <c r="AB440" s="19">
        <f t="shared" si="160"/>
        <v>0.12912768980137221</v>
      </c>
      <c r="AC440" s="19"/>
      <c r="AD440" s="19">
        <f t="shared" si="160"/>
        <v>0.13140056442933873</v>
      </c>
      <c r="AE440" s="19"/>
      <c r="AF440" s="19">
        <f t="shared" si="160"/>
        <v>0.1197165682949463</v>
      </c>
      <c r="AH440" s="89"/>
      <c r="AI440" s="89"/>
      <c r="AJ440" s="89"/>
      <c r="AK440" s="89"/>
    </row>
    <row r="441" spans="3:37" x14ac:dyDescent="0.25">
      <c r="C441" s="12" t="s">
        <v>126</v>
      </c>
      <c r="H441" s="17" t="s">
        <v>128</v>
      </c>
      <c r="I441">
        <v>8.4938065692276195E+23</v>
      </c>
      <c r="V441">
        <v>6</v>
      </c>
      <c r="W441">
        <v>1.457471148458275</v>
      </c>
      <c r="X441" s="19">
        <f t="shared" ref="X441:AF441" si="161">(W413-$M$404)/$AD$431/$AK$431</f>
        <v>0.11509979170688781</v>
      </c>
      <c r="Y441" s="19"/>
      <c r="Z441" s="19">
        <f t="shared" si="161"/>
        <v>0.10941760513697077</v>
      </c>
      <c r="AA441" s="19"/>
      <c r="AB441" s="19">
        <f t="shared" si="161"/>
        <v>0.11886424030945784</v>
      </c>
      <c r="AC441" s="19"/>
      <c r="AD441" s="19">
        <f t="shared" si="161"/>
        <v>0.12429783121694202</v>
      </c>
      <c r="AE441" s="19"/>
      <c r="AF441" s="19">
        <f t="shared" si="161"/>
        <v>0.10188870793183068</v>
      </c>
      <c r="AH441" s="89"/>
      <c r="AI441" s="89"/>
      <c r="AJ441" s="89"/>
      <c r="AK441" s="89"/>
    </row>
    <row r="442" spans="3:37" x14ac:dyDescent="0.25">
      <c r="D442" t="s">
        <v>129</v>
      </c>
      <c r="E442">
        <v>60000</v>
      </c>
      <c r="F442">
        <v>1000</v>
      </c>
      <c r="G442">
        <v>1000</v>
      </c>
      <c r="H442" s="12" t="s">
        <v>127</v>
      </c>
      <c r="I442" s="12" t="s">
        <v>130</v>
      </c>
      <c r="J442" s="12" t="s">
        <v>131</v>
      </c>
      <c r="K442" s="12" t="s">
        <v>132</v>
      </c>
      <c r="M442">
        <v>50072</v>
      </c>
      <c r="N442" s="12" t="s">
        <v>135</v>
      </c>
      <c r="P442" s="12" t="s">
        <v>134</v>
      </c>
      <c r="R442" s="12" t="s">
        <v>136</v>
      </c>
      <c r="V442">
        <v>7</v>
      </c>
      <c r="W442">
        <v>1.619412387175861</v>
      </c>
      <c r="X442" s="19">
        <f t="shared" ref="X442:AF442" si="162">(W414-$M$404)/$AD$431/$AK$431</f>
        <v>0.10700267584475648</v>
      </c>
      <c r="Y442" s="19"/>
      <c r="Z442" s="19">
        <f t="shared" si="162"/>
        <v>0.10597277952895907</v>
      </c>
      <c r="AA442" s="19"/>
      <c r="AB442" s="19">
        <f t="shared" si="162"/>
        <v>9.350748274120213E-2</v>
      </c>
      <c r="AC442" s="19"/>
      <c r="AD442" s="19">
        <f t="shared" si="162"/>
        <v>9.4537379056999507E-2</v>
      </c>
      <c r="AE442" s="19"/>
      <c r="AF442" s="19">
        <f t="shared" si="162"/>
        <v>9.4537379056999507E-2</v>
      </c>
      <c r="AH442" s="89"/>
      <c r="AI442" s="89"/>
      <c r="AJ442" s="89"/>
      <c r="AK442" s="89"/>
    </row>
    <row r="443" spans="3:37" x14ac:dyDescent="0.25">
      <c r="C443">
        <v>2</v>
      </c>
      <c r="D443">
        <v>50</v>
      </c>
      <c r="E443">
        <f t="shared" ref="E443:G454" si="163">E$391/$D443</f>
        <v>1200</v>
      </c>
      <c r="F443">
        <f t="shared" si="163"/>
        <v>20</v>
      </c>
      <c r="G443">
        <f t="shared" si="163"/>
        <v>20</v>
      </c>
      <c r="H443">
        <v>2.5000000000000001E-2</v>
      </c>
      <c r="I443">
        <f t="shared" ref="I443:I454" si="164">D443*$I$441^(1/3)*10^(-10)</f>
        <v>0.47351905455838489</v>
      </c>
      <c r="K443">
        <f t="shared" ref="K443:K454" si="165">$I$441*D443^3*10^(-30)</f>
        <v>0.10617258211534525</v>
      </c>
      <c r="L443">
        <v>2</v>
      </c>
      <c r="M443">
        <v>50790</v>
      </c>
      <c r="N443">
        <f>(M443-$M$442)/30/60</f>
        <v>0.3988888888888889</v>
      </c>
      <c r="O443">
        <v>50985</v>
      </c>
      <c r="P443">
        <f>(O443-$M$442)/30/60</f>
        <v>0.50722222222222224</v>
      </c>
      <c r="Q443">
        <v>50906</v>
      </c>
      <c r="R443">
        <f>(Q443-$M$442)/30/60</f>
        <v>0.46333333333333332</v>
      </c>
      <c r="V443">
        <v>8</v>
      </c>
      <c r="W443">
        <v>1.7813536258934473</v>
      </c>
      <c r="X443" s="19">
        <f t="shared" ref="X443:AF443" si="166">(W415-$M$404)/$AD$431/$AK$431</f>
        <v>8.2817869256545953E-2</v>
      </c>
      <c r="Y443" s="19"/>
      <c r="Z443" s="19">
        <f t="shared" si="166"/>
        <v>7.9373043648532662E-2</v>
      </c>
      <c r="AA443" s="19"/>
      <c r="AB443" s="19">
        <f t="shared" si="166"/>
        <v>7.9373043648532662E-2</v>
      </c>
      <c r="AC443" s="19"/>
      <c r="AD443" s="19">
        <f t="shared" si="166"/>
        <v>8.05094809625167E-2</v>
      </c>
      <c r="AE443" s="19"/>
      <c r="AF443" s="19">
        <f t="shared" si="166"/>
        <v>7.7064655354503409E-2</v>
      </c>
      <c r="AH443" s="89"/>
      <c r="AI443" s="89"/>
      <c r="AJ443" s="89"/>
      <c r="AK443" s="89"/>
    </row>
    <row r="444" spans="3:37" x14ac:dyDescent="0.25">
      <c r="C444">
        <v>3</v>
      </c>
      <c r="D444">
        <v>60</v>
      </c>
      <c r="E444">
        <f t="shared" si="163"/>
        <v>1000</v>
      </c>
      <c r="F444">
        <f t="shared" si="163"/>
        <v>16.666666666666668</v>
      </c>
      <c r="G444">
        <f t="shared" si="163"/>
        <v>16.666666666666668</v>
      </c>
      <c r="H444">
        <v>2.5999999999999999E-2</v>
      </c>
      <c r="I444">
        <f t="shared" si="164"/>
        <v>0.56822286547006196</v>
      </c>
      <c r="K444">
        <f t="shared" si="165"/>
        <v>0.18346622189531656</v>
      </c>
      <c r="L444">
        <v>3</v>
      </c>
      <c r="M444">
        <v>50815</v>
      </c>
      <c r="N444">
        <f t="shared" ref="N444:N454" si="167">(M444-$M$442)/30/60</f>
        <v>0.41277777777777774</v>
      </c>
      <c r="O444">
        <v>50949</v>
      </c>
      <c r="P444">
        <f t="shared" ref="P444:P454" si="168">(O444-$M$442)/30/60</f>
        <v>0.48722222222222222</v>
      </c>
      <c r="Q444">
        <v>50882.98</v>
      </c>
      <c r="R444">
        <f t="shared" ref="R444:R454" si="169">(Q444-$M$442)/30/60</f>
        <v>0.45054444444444625</v>
      </c>
      <c r="V444">
        <v>9</v>
      </c>
      <c r="W444">
        <v>1.9432948646110333</v>
      </c>
      <c r="X444" s="19">
        <f t="shared" ref="X444:AF444" si="170">(W416-$M$404)/$AD$431/$AK$431</f>
        <v>6.9038566824495995E-2</v>
      </c>
      <c r="Y444" s="19"/>
      <c r="Z444" s="19">
        <f t="shared" si="170"/>
        <v>7.543102671565205E-2</v>
      </c>
      <c r="AA444" s="19"/>
      <c r="AB444" s="19">
        <f t="shared" si="170"/>
        <v>6.6481582868032282E-2</v>
      </c>
      <c r="AC444" s="19"/>
      <c r="AD444" s="19">
        <f t="shared" si="170"/>
        <v>6.7475965517768535E-2</v>
      </c>
      <c r="AE444" s="19"/>
      <c r="AF444" s="19">
        <f t="shared" si="170"/>
        <v>6.5203090889802043E-2</v>
      </c>
      <c r="AH444" s="89"/>
      <c r="AI444" s="89"/>
      <c r="AJ444" s="89"/>
      <c r="AK444" s="89"/>
    </row>
    <row r="445" spans="3:37" x14ac:dyDescent="0.25">
      <c r="C445">
        <v>4</v>
      </c>
      <c r="D445">
        <v>70</v>
      </c>
      <c r="E445">
        <f t="shared" si="163"/>
        <v>857.14285714285711</v>
      </c>
      <c r="F445">
        <f t="shared" si="163"/>
        <v>14.285714285714286</v>
      </c>
      <c r="G445">
        <f t="shared" si="163"/>
        <v>14.285714285714286</v>
      </c>
      <c r="H445">
        <v>2.1999999999999999E-2</v>
      </c>
      <c r="I445">
        <f t="shared" si="164"/>
        <v>0.66292667638173897</v>
      </c>
      <c r="K445">
        <f t="shared" si="165"/>
        <v>0.29133756532450733</v>
      </c>
      <c r="L445">
        <v>4</v>
      </c>
      <c r="M445">
        <v>50796</v>
      </c>
      <c r="N445">
        <f t="shared" si="167"/>
        <v>0.4022222222222222</v>
      </c>
      <c r="O445">
        <v>50892</v>
      </c>
      <c r="P445">
        <f t="shared" si="168"/>
        <v>0.45555555555555555</v>
      </c>
      <c r="Q445">
        <v>50833</v>
      </c>
      <c r="R445">
        <f t="shared" si="169"/>
        <v>0.42277777777777781</v>
      </c>
    </row>
    <row r="446" spans="3:37" x14ac:dyDescent="0.25">
      <c r="C446">
        <v>5</v>
      </c>
      <c r="D446">
        <v>80</v>
      </c>
      <c r="E446">
        <f t="shared" si="163"/>
        <v>750</v>
      </c>
      <c r="F446">
        <f t="shared" si="163"/>
        <v>12.5</v>
      </c>
      <c r="G446">
        <f t="shared" si="163"/>
        <v>12.5</v>
      </c>
      <c r="H446">
        <v>1.9E-2</v>
      </c>
      <c r="I446">
        <f t="shared" si="164"/>
        <v>0.75763048729341598</v>
      </c>
      <c r="K446">
        <f t="shared" si="165"/>
        <v>0.4348828963444541</v>
      </c>
      <c r="L446">
        <v>5</v>
      </c>
      <c r="M446">
        <v>50737</v>
      </c>
      <c r="N446">
        <f t="shared" si="167"/>
        <v>0.36944444444444446</v>
      </c>
      <c r="O446">
        <v>50803</v>
      </c>
      <c r="P446">
        <f t="shared" si="168"/>
        <v>0.40611111111111114</v>
      </c>
      <c r="Q446">
        <v>50758</v>
      </c>
      <c r="R446">
        <f t="shared" si="169"/>
        <v>0.38111111111111112</v>
      </c>
    </row>
    <row r="447" spans="3:37" x14ac:dyDescent="0.25">
      <c r="C447">
        <v>6</v>
      </c>
      <c r="D447">
        <v>90</v>
      </c>
      <c r="E447">
        <f t="shared" si="163"/>
        <v>666.66666666666663</v>
      </c>
      <c r="F447">
        <f t="shared" si="163"/>
        <v>11.111111111111111</v>
      </c>
      <c r="G447">
        <f t="shared" si="163"/>
        <v>11.111111111111111</v>
      </c>
      <c r="H447">
        <v>1.7000000000000001E-2</v>
      </c>
      <c r="I447">
        <f t="shared" si="164"/>
        <v>0.85233429820509299</v>
      </c>
      <c r="K447">
        <f t="shared" si="165"/>
        <v>0.61919849889669343</v>
      </c>
      <c r="L447">
        <v>6</v>
      </c>
      <c r="M447">
        <v>50705</v>
      </c>
      <c r="N447">
        <f t="shared" si="167"/>
        <v>0.35166666666666668</v>
      </c>
      <c r="O447">
        <v>50736</v>
      </c>
      <c r="P447">
        <f t="shared" si="168"/>
        <v>0.36888888888888888</v>
      </c>
      <c r="Q447">
        <v>50704</v>
      </c>
      <c r="R447">
        <f t="shared" si="169"/>
        <v>0.3511111111111111</v>
      </c>
    </row>
    <row r="448" spans="3:37" x14ac:dyDescent="0.25">
      <c r="C448">
        <v>7</v>
      </c>
      <c r="D448">
        <v>100</v>
      </c>
      <c r="E448">
        <f t="shared" si="163"/>
        <v>600</v>
      </c>
      <c r="F448">
        <f t="shared" si="163"/>
        <v>10</v>
      </c>
      <c r="G448">
        <f t="shared" si="163"/>
        <v>10</v>
      </c>
      <c r="H448">
        <v>1.498E-2</v>
      </c>
      <c r="I448">
        <f t="shared" si="164"/>
        <v>0.94703810911676978</v>
      </c>
      <c r="K448">
        <f t="shared" si="165"/>
        <v>0.84938065692276199</v>
      </c>
      <c r="L448">
        <v>7</v>
      </c>
      <c r="M448">
        <v>50636</v>
      </c>
      <c r="N448">
        <f t="shared" si="167"/>
        <v>0.31333333333333335</v>
      </c>
      <c r="O448">
        <v>50673</v>
      </c>
      <c r="P448">
        <f t="shared" si="168"/>
        <v>0.3338888888888889</v>
      </c>
      <c r="Q448">
        <v>50644</v>
      </c>
      <c r="R448">
        <f t="shared" si="169"/>
        <v>0.31777777777777777</v>
      </c>
    </row>
    <row r="449" spans="3:18" x14ac:dyDescent="0.25">
      <c r="C449">
        <v>8</v>
      </c>
      <c r="D449">
        <v>110</v>
      </c>
      <c r="E449">
        <f t="shared" si="163"/>
        <v>545.4545454545455</v>
      </c>
      <c r="F449">
        <f t="shared" si="163"/>
        <v>9.0909090909090917</v>
      </c>
      <c r="G449">
        <f t="shared" si="163"/>
        <v>9.0909090909090917</v>
      </c>
      <c r="H449">
        <v>1.47E-2</v>
      </c>
      <c r="I449">
        <f t="shared" si="164"/>
        <v>1.041741920028447</v>
      </c>
      <c r="K449">
        <f t="shared" si="165"/>
        <v>1.1305256543641962</v>
      </c>
      <c r="L449">
        <v>8</v>
      </c>
      <c r="M449">
        <v>50577</v>
      </c>
      <c r="N449">
        <f t="shared" si="167"/>
        <v>0.28055555555555556</v>
      </c>
      <c r="O449">
        <v>50602</v>
      </c>
      <c r="P449">
        <f t="shared" si="168"/>
        <v>0.29444444444444445</v>
      </c>
      <c r="Q449">
        <v>50579.88</v>
      </c>
      <c r="R449">
        <f t="shared" si="169"/>
        <v>0.28215555555555411</v>
      </c>
    </row>
    <row r="450" spans="3:18" x14ac:dyDescent="0.25">
      <c r="C450">
        <v>9</v>
      </c>
      <c r="D450">
        <v>120</v>
      </c>
      <c r="E450">
        <f t="shared" si="163"/>
        <v>500</v>
      </c>
      <c r="F450">
        <f t="shared" si="163"/>
        <v>8.3333333333333339</v>
      </c>
      <c r="G450">
        <f t="shared" si="163"/>
        <v>8.3333333333333339</v>
      </c>
      <c r="H450">
        <v>1.2999999999999999E-2</v>
      </c>
      <c r="I450">
        <f t="shared" si="164"/>
        <v>1.1364457309401239</v>
      </c>
      <c r="K450">
        <f t="shared" si="165"/>
        <v>1.4677297751625324</v>
      </c>
      <c r="L450">
        <v>9</v>
      </c>
      <c r="M450">
        <v>50526</v>
      </c>
      <c r="N450">
        <f t="shared" si="167"/>
        <v>0.25222222222222224</v>
      </c>
      <c r="O450">
        <v>50549</v>
      </c>
      <c r="P450">
        <f t="shared" si="168"/>
        <v>0.26500000000000001</v>
      </c>
      <c r="Q450">
        <v>50529</v>
      </c>
      <c r="R450">
        <f t="shared" si="169"/>
        <v>0.25388888888888889</v>
      </c>
    </row>
    <row r="451" spans="3:18" x14ac:dyDescent="0.25">
      <c r="C451">
        <v>10</v>
      </c>
      <c r="D451">
        <v>140</v>
      </c>
      <c r="E451">
        <f t="shared" si="163"/>
        <v>428.57142857142856</v>
      </c>
      <c r="F451">
        <f t="shared" si="163"/>
        <v>7.1428571428571432</v>
      </c>
      <c r="G451">
        <f t="shared" si="163"/>
        <v>7.1428571428571432</v>
      </c>
      <c r="I451">
        <f t="shared" si="164"/>
        <v>1.3258533527634779</v>
      </c>
      <c r="K451">
        <f t="shared" si="165"/>
        <v>2.3307005225960586</v>
      </c>
      <c r="L451">
        <v>10</v>
      </c>
      <c r="M451">
        <v>50464</v>
      </c>
      <c r="N451">
        <f t="shared" si="167"/>
        <v>0.21777777777777776</v>
      </c>
      <c r="O451">
        <v>50470</v>
      </c>
      <c r="P451">
        <f t="shared" si="168"/>
        <v>0.22111111111111112</v>
      </c>
      <c r="Q451">
        <v>50456</v>
      </c>
      <c r="R451">
        <f t="shared" si="169"/>
        <v>0.21333333333333335</v>
      </c>
    </row>
    <row r="452" spans="3:18" x14ac:dyDescent="0.25">
      <c r="C452">
        <v>11</v>
      </c>
      <c r="D452">
        <v>160</v>
      </c>
      <c r="E452">
        <f t="shared" si="163"/>
        <v>375</v>
      </c>
      <c r="F452">
        <f t="shared" si="163"/>
        <v>6.25</v>
      </c>
      <c r="G452">
        <f t="shared" si="163"/>
        <v>6.25</v>
      </c>
      <c r="I452">
        <f t="shared" si="164"/>
        <v>1.515260974586832</v>
      </c>
      <c r="K452">
        <f t="shared" si="165"/>
        <v>3.4790631707556328</v>
      </c>
      <c r="L452">
        <v>11</v>
      </c>
      <c r="M452">
        <v>50394</v>
      </c>
      <c r="N452">
        <f t="shared" si="167"/>
        <v>0.17888888888888888</v>
      </c>
      <c r="O452">
        <v>50399</v>
      </c>
      <c r="P452">
        <f t="shared" si="168"/>
        <v>0.18166666666666667</v>
      </c>
      <c r="Q452">
        <v>50391</v>
      </c>
      <c r="R452">
        <f t="shared" si="169"/>
        <v>0.17722222222222223</v>
      </c>
    </row>
    <row r="453" spans="3:18" x14ac:dyDescent="0.25">
      <c r="C453">
        <v>0</v>
      </c>
      <c r="D453">
        <v>170</v>
      </c>
      <c r="E453">
        <f t="shared" si="163"/>
        <v>352.94117647058823</v>
      </c>
      <c r="F453">
        <f t="shared" si="163"/>
        <v>5.882352941176471</v>
      </c>
      <c r="G453">
        <f t="shared" si="163"/>
        <v>5.882352941176471</v>
      </c>
      <c r="H453">
        <v>1.7999999999999999E-2</v>
      </c>
      <c r="I453">
        <f t="shared" si="164"/>
        <v>1.6099647854985089</v>
      </c>
      <c r="K453">
        <f t="shared" si="165"/>
        <v>4.1730071674615292</v>
      </c>
      <c r="L453">
        <v>0</v>
      </c>
      <c r="M453">
        <v>50374</v>
      </c>
      <c r="N453">
        <f t="shared" si="167"/>
        <v>0.16777777777777778</v>
      </c>
      <c r="O453">
        <v>50378</v>
      </c>
      <c r="P453">
        <f t="shared" si="168"/>
        <v>0.16999999999999998</v>
      </c>
      <c r="Q453">
        <v>50368</v>
      </c>
      <c r="R453">
        <f t="shared" si="169"/>
        <v>0.16444444444444445</v>
      </c>
    </row>
    <row r="454" spans="3:18" x14ac:dyDescent="0.25">
      <c r="C454">
        <v>1</v>
      </c>
      <c r="D454">
        <v>200</v>
      </c>
      <c r="E454">
        <f t="shared" si="163"/>
        <v>300</v>
      </c>
      <c r="F454">
        <f t="shared" si="163"/>
        <v>5</v>
      </c>
      <c r="G454">
        <f t="shared" si="163"/>
        <v>5</v>
      </c>
      <c r="H454">
        <v>2.3E-2</v>
      </c>
      <c r="I454">
        <f t="shared" si="164"/>
        <v>1.8940762182335396</v>
      </c>
      <c r="K454">
        <f t="shared" si="165"/>
        <v>6.7950452553820959</v>
      </c>
      <c r="L454">
        <v>1</v>
      </c>
      <c r="M454">
        <v>50306</v>
      </c>
      <c r="N454">
        <f t="shared" si="167"/>
        <v>0.13</v>
      </c>
      <c r="O454">
        <v>50306</v>
      </c>
      <c r="P454">
        <f t="shared" si="168"/>
        <v>0.13</v>
      </c>
      <c r="Q454">
        <v>50305.67</v>
      </c>
      <c r="R454">
        <f t="shared" si="169"/>
        <v>0.12981666666666569</v>
      </c>
    </row>
    <row r="457" spans="3:18" x14ac:dyDescent="0.25">
      <c r="J457" t="s">
        <v>149</v>
      </c>
    </row>
    <row r="458" spans="3:18" x14ac:dyDescent="0.25">
      <c r="D458" t="s">
        <v>23</v>
      </c>
      <c r="E458">
        <v>300</v>
      </c>
      <c r="H458" t="s">
        <v>145</v>
      </c>
      <c r="I458">
        <f>SQRT(1/2/E459/E458)</f>
        <v>2.533316461501883E-3</v>
      </c>
    </row>
    <row r="459" spans="3:18" x14ac:dyDescent="0.25">
      <c r="D459" t="s">
        <v>22</v>
      </c>
      <c r="E459">
        <f>1.38/0.032*6.022</f>
        <v>259.69874999999996</v>
      </c>
      <c r="H459" t="s">
        <v>147</v>
      </c>
      <c r="I459">
        <f>I458*E461/SQRT(PI())/E462</f>
        <v>1.7151249112913074E-7</v>
      </c>
      <c r="K459" s="12" t="s">
        <v>231</v>
      </c>
      <c r="L459" s="12"/>
    </row>
    <row r="460" spans="3:18" x14ac:dyDescent="0.25">
      <c r="D460" t="s">
        <v>138</v>
      </c>
      <c r="E460">
        <f>2*SQRT(E458*E459*2/PI())</f>
        <v>445.41579555621337</v>
      </c>
      <c r="F460" t="s">
        <v>140</v>
      </c>
      <c r="G460">
        <f>SQRT(2/PI()/E459/E458)</f>
        <v>2.858541518818846E-3</v>
      </c>
      <c r="H460" t="s">
        <v>8</v>
      </c>
      <c r="I460">
        <v>4.2469032846138091E+24</v>
      </c>
      <c r="K460" s="12" t="s">
        <v>128</v>
      </c>
      <c r="L460" s="12">
        <f>E462/E442/F442/G442*10^30</f>
        <v>4.1666666666666669E+24</v>
      </c>
    </row>
    <row r="461" spans="3:18" x14ac:dyDescent="0.25">
      <c r="D461" t="s">
        <v>129</v>
      </c>
      <c r="E461">
        <v>30</v>
      </c>
      <c r="G461">
        <f>G460*E461</f>
        <v>8.5756245564565375E-2</v>
      </c>
      <c r="H461" t="s">
        <v>146</v>
      </c>
      <c r="I461">
        <f>I460^(-1/3)</f>
        <v>6.1750793554440341E-9</v>
      </c>
    </row>
    <row r="462" spans="3:18" x14ac:dyDescent="0.25">
      <c r="D462" t="s">
        <v>107</v>
      </c>
      <c r="E462">
        <v>250000</v>
      </c>
      <c r="H462" t="s">
        <v>148</v>
      </c>
      <c r="I462">
        <f>I458*I461/E462*10^10</f>
        <v>6.2573720728907241E-7</v>
      </c>
    </row>
    <row r="463" spans="3:18" x14ac:dyDescent="0.25">
      <c r="D463" t="s">
        <v>139</v>
      </c>
      <c r="E463">
        <f>E461/E460/E462/2</f>
        <v>1.3470559553254044E-7</v>
      </c>
      <c r="G463">
        <f>G461/E462/2</f>
        <v>1.7151249112913074E-7</v>
      </c>
      <c r="H463" s="17">
        <v>0.1</v>
      </c>
      <c r="I463" s="12">
        <f>$I$462*H463</f>
        <v>6.2573720728907246E-8</v>
      </c>
      <c r="J463">
        <v>1411319</v>
      </c>
    </row>
    <row r="464" spans="3:18" x14ac:dyDescent="0.25">
      <c r="D464" t="s">
        <v>234</v>
      </c>
      <c r="E464">
        <f>4000*10^(-10)</f>
        <v>4.0000000000000003E-7</v>
      </c>
      <c r="H464">
        <v>1</v>
      </c>
      <c r="I464" s="12">
        <f>$I$462*H464</f>
        <v>6.2573720728907241E-7</v>
      </c>
      <c r="J464">
        <v>1411356</v>
      </c>
    </row>
    <row r="465" spans="4:15" x14ac:dyDescent="0.25">
      <c r="H465">
        <v>10</v>
      </c>
      <c r="I465" s="12">
        <f>$I$462*H465</f>
        <v>6.2573720728907245E-6</v>
      </c>
      <c r="J465">
        <v>1411316</v>
      </c>
    </row>
    <row r="466" spans="4:15" x14ac:dyDescent="0.25">
      <c r="D466">
        <v>5.3999999999999999E-2</v>
      </c>
      <c r="E466">
        <f>D466*3600/10^10</f>
        <v>1.9440000000000001E-8</v>
      </c>
      <c r="H466">
        <v>100</v>
      </c>
      <c r="I466" s="12">
        <f>$I$462*H466</f>
        <v>6.2573720728907245E-5</v>
      </c>
      <c r="J466">
        <v>1411377</v>
      </c>
    </row>
    <row r="472" spans="4:15" x14ac:dyDescent="0.25">
      <c r="K472" s="12" t="s">
        <v>130</v>
      </c>
      <c r="L472" s="12" t="s">
        <v>144</v>
      </c>
      <c r="M472" s="12" t="s">
        <v>143</v>
      </c>
      <c r="N472" s="12" t="s">
        <v>142</v>
      </c>
      <c r="O472" s="12" t="s">
        <v>141</v>
      </c>
    </row>
    <row r="473" spans="4:15" x14ac:dyDescent="0.25">
      <c r="K473">
        <v>0.32388247743517218</v>
      </c>
      <c r="L473">
        <v>1.1100000000000009E-2</v>
      </c>
      <c r="M473">
        <v>4.6666666666666662E-2</v>
      </c>
      <c r="N473">
        <v>5.0761111111111049E-2</v>
      </c>
      <c r="O473">
        <v>1.1434166075275384E-7</v>
      </c>
    </row>
    <row r="474" spans="4:15" x14ac:dyDescent="0.25">
      <c r="K474">
        <v>0.40485309679396525</v>
      </c>
      <c r="L474">
        <v>1.3372222222222313E-2</v>
      </c>
      <c r="M474">
        <v>5.4866666666666793E-2</v>
      </c>
      <c r="N474">
        <v>5.2166666666666466E-2</v>
      </c>
      <c r="O474">
        <v>1.429270759409423E-7</v>
      </c>
    </row>
    <row r="475" spans="4:15" x14ac:dyDescent="0.25">
      <c r="K475">
        <v>0.48582371615275832</v>
      </c>
      <c r="L475">
        <v>1.6933333333333345E-2</v>
      </c>
      <c r="M475">
        <v>0.05</v>
      </c>
      <c r="N475">
        <v>5.9299999999999881E-2</v>
      </c>
      <c r="O475">
        <v>1.7151249112913074E-7</v>
      </c>
    </row>
    <row r="476" spans="4:15" x14ac:dyDescent="0.25">
      <c r="K476">
        <v>0.64776495487034436</v>
      </c>
      <c r="L476">
        <v>2.2422222222222291E-2</v>
      </c>
      <c r="M476">
        <v>4.5555555555555557E-2</v>
      </c>
      <c r="N476">
        <v>4.8672222222222297E-2</v>
      </c>
      <c r="O476">
        <v>2.2868332150550768E-7</v>
      </c>
    </row>
    <row r="477" spans="4:15" x14ac:dyDescent="0.25">
      <c r="K477">
        <v>0.8097061935879305</v>
      </c>
      <c r="L477">
        <v>2.4244444444444371E-2</v>
      </c>
      <c r="M477">
        <v>3.7627777777777788E-2</v>
      </c>
      <c r="N477">
        <v>3.9916666666666614E-2</v>
      </c>
      <c r="O477">
        <v>2.858541518818846E-7</v>
      </c>
    </row>
    <row r="478" spans="4:15" x14ac:dyDescent="0.25">
      <c r="K478">
        <v>0.97164743230551665</v>
      </c>
      <c r="L478">
        <v>2.562777777777784E-2</v>
      </c>
      <c r="M478">
        <v>2.8888888888888891E-2</v>
      </c>
      <c r="N478">
        <v>3.1049999999999928E-2</v>
      </c>
      <c r="O478">
        <v>3.4302498225826149E-7</v>
      </c>
    </row>
    <row r="479" spans="4:15" x14ac:dyDescent="0.25">
      <c r="K479">
        <v>1.1335886710231029</v>
      </c>
      <c r="L479">
        <v>2.0816666666666553E-2</v>
      </c>
      <c r="M479">
        <v>2.4444444444444442E-2</v>
      </c>
      <c r="N479">
        <v>2.6116666666666788E-2</v>
      </c>
      <c r="O479">
        <v>4.0019581263463843E-7</v>
      </c>
    </row>
    <row r="480" spans="4:15" x14ac:dyDescent="0.25">
      <c r="K480">
        <v>1.2955299097406887</v>
      </c>
      <c r="L480">
        <v>1.8061111111111233E-2</v>
      </c>
      <c r="M480">
        <v>0.02</v>
      </c>
      <c r="N480">
        <v>2.1266666666666777E-2</v>
      </c>
      <c r="O480">
        <v>4.5736664301101537E-7</v>
      </c>
    </row>
    <row r="481" spans="3:15" x14ac:dyDescent="0.25">
      <c r="K481">
        <v>1.457471148458275</v>
      </c>
      <c r="L481">
        <v>1.6066666666666708E-2</v>
      </c>
      <c r="M481">
        <v>1.6972222222222322E-2</v>
      </c>
      <c r="N481">
        <v>1.8005555555555476E-2</v>
      </c>
      <c r="O481">
        <v>5.1453747338739231E-7</v>
      </c>
    </row>
    <row r="482" spans="3:15" x14ac:dyDescent="0.25">
      <c r="K482">
        <v>1.619412387175861</v>
      </c>
      <c r="L482">
        <v>1.3988888888888797E-2</v>
      </c>
      <c r="M482">
        <v>1.4444444444444446E-2</v>
      </c>
      <c r="N482">
        <v>1.6738888888888952E-2</v>
      </c>
      <c r="O482">
        <v>5.717083037637692E-7</v>
      </c>
    </row>
    <row r="483" spans="3:15" x14ac:dyDescent="0.25">
      <c r="K483">
        <v>1.7813536258934473</v>
      </c>
      <c r="L483">
        <v>1.2055555555555455E-2</v>
      </c>
      <c r="M483">
        <v>1.2222222222222221E-2</v>
      </c>
      <c r="N483">
        <v>1.2955555555555645E-2</v>
      </c>
      <c r="O483">
        <v>6.2887913414014609E-7</v>
      </c>
    </row>
    <row r="484" spans="3:15" x14ac:dyDescent="0.25">
      <c r="K484">
        <v>1.9432948646110333</v>
      </c>
      <c r="L484">
        <v>1.020000000000007E-2</v>
      </c>
      <c r="M484">
        <v>1.10000000000001E-2</v>
      </c>
      <c r="N484">
        <v>1.080000000000003E-2</v>
      </c>
      <c r="O484">
        <v>6.8604996451652297E-7</v>
      </c>
    </row>
    <row r="495" spans="3:15" x14ac:dyDescent="0.25">
      <c r="C495" s="12" t="s">
        <v>170</v>
      </c>
    </row>
    <row r="496" spans="3:15" x14ac:dyDescent="0.25">
      <c r="C496" s="21" t="s">
        <v>69</v>
      </c>
      <c r="D496" s="21" t="s">
        <v>156</v>
      </c>
      <c r="E496" s="21" t="s">
        <v>157</v>
      </c>
      <c r="F496" s="21" t="s">
        <v>158</v>
      </c>
      <c r="G496" s="21" t="s">
        <v>19</v>
      </c>
      <c r="H496" s="21" t="s">
        <v>159</v>
      </c>
      <c r="I496" s="21" t="s">
        <v>160</v>
      </c>
      <c r="J496" s="21" t="s">
        <v>161</v>
      </c>
      <c r="K496" s="21" t="s">
        <v>25</v>
      </c>
    </row>
    <row r="497" spans="3:11" x14ac:dyDescent="0.25">
      <c r="C497" s="22">
        <v>0.01</v>
      </c>
      <c r="D497" s="22">
        <v>3.0499000000000001</v>
      </c>
      <c r="E497" s="22">
        <v>3.0489000000000002</v>
      </c>
      <c r="F497" s="22">
        <v>2.2113999999999998</v>
      </c>
      <c r="G497" s="22"/>
      <c r="H497" s="22"/>
      <c r="I497" s="22"/>
      <c r="J497" s="22">
        <v>3.0518999999999998</v>
      </c>
      <c r="K497" s="22"/>
    </row>
    <row r="498" spans="3:11" x14ac:dyDescent="0.25">
      <c r="C498" s="22">
        <v>0.1</v>
      </c>
      <c r="D498" s="22">
        <v>2.0327999999999999</v>
      </c>
      <c r="E498" s="22">
        <v>2.0314000000000001</v>
      </c>
      <c r="F498" s="22">
        <v>1.9829000000000001</v>
      </c>
      <c r="G498" s="22">
        <v>1.8817999999999999</v>
      </c>
      <c r="H498" s="22">
        <v>2.0861000000000001</v>
      </c>
      <c r="I498" s="22">
        <v>2.0327000000000002</v>
      </c>
      <c r="J498" s="22">
        <v>2.0396999999999998</v>
      </c>
      <c r="K498" s="22">
        <v>1.9318</v>
      </c>
    </row>
    <row r="499" spans="3:11" x14ac:dyDescent="0.25">
      <c r="C499" s="22">
        <v>0.2</v>
      </c>
      <c r="D499" s="22">
        <v>1.8083</v>
      </c>
      <c r="E499" s="22">
        <v>1.8079000000000001</v>
      </c>
      <c r="F499" s="22">
        <v>1.8167</v>
      </c>
      <c r="G499" s="22">
        <v>1.6994</v>
      </c>
      <c r="H499" s="22">
        <v>1.8465</v>
      </c>
      <c r="I499" s="22"/>
      <c r="J499" s="22"/>
      <c r="K499" s="22">
        <v>1.7406999999999999</v>
      </c>
    </row>
    <row r="500" spans="3:11" x14ac:dyDescent="0.25">
      <c r="C500" s="22">
        <v>0.5</v>
      </c>
      <c r="D500" s="22">
        <v>1.6016999999999999</v>
      </c>
      <c r="E500" s="22">
        <v>1.6016999999999999</v>
      </c>
      <c r="F500" s="22">
        <v>1.605</v>
      </c>
      <c r="G500" s="22">
        <v>1.5490999999999999</v>
      </c>
      <c r="H500" s="22">
        <v>1.6166</v>
      </c>
      <c r="I500" s="22">
        <v>1.6017999999999999</v>
      </c>
      <c r="J500" s="22">
        <v>1.6147</v>
      </c>
      <c r="K500" s="22">
        <v>1.5607</v>
      </c>
    </row>
    <row r="501" spans="3:11" x14ac:dyDescent="0.25">
      <c r="C501" s="22">
        <v>1</v>
      </c>
      <c r="D501" s="22">
        <v>1.5379</v>
      </c>
      <c r="E501" s="22">
        <v>1.5388999999999999</v>
      </c>
      <c r="F501" s="22">
        <v>1.5381</v>
      </c>
      <c r="G501" s="22">
        <v>1.5116000000000001</v>
      </c>
      <c r="H501" s="22">
        <v>1.5343</v>
      </c>
      <c r="I501" s="22">
        <v>1.5386</v>
      </c>
      <c r="J501" s="22">
        <v>1.5541</v>
      </c>
      <c r="K501" s="22">
        <v>1.5085999999999999</v>
      </c>
    </row>
    <row r="502" spans="3:11" x14ac:dyDescent="0.25">
      <c r="C502" s="22">
        <v>2</v>
      </c>
      <c r="D502" s="22">
        <v>1.5911999999999999</v>
      </c>
      <c r="E502" s="22">
        <v>1.5942000000000001</v>
      </c>
      <c r="F502" s="22">
        <v>1.595</v>
      </c>
      <c r="G502" s="22">
        <v>1.5490999999999999</v>
      </c>
      <c r="H502" s="22">
        <v>1.5709</v>
      </c>
      <c r="I502" s="22">
        <v>1.5948</v>
      </c>
      <c r="J502" s="22"/>
      <c r="K502" s="22">
        <v>1.5681</v>
      </c>
    </row>
    <row r="503" spans="3:11" x14ac:dyDescent="0.25">
      <c r="C503" s="22">
        <v>4</v>
      </c>
      <c r="D503" s="22">
        <v>1.845</v>
      </c>
      <c r="E503" s="22">
        <v>1.8440000000000001</v>
      </c>
      <c r="F503" s="22">
        <v>1.8459000000000001</v>
      </c>
      <c r="G503" s="22">
        <v>1.7958000000000001</v>
      </c>
      <c r="H503" s="22">
        <v>1.8075000000000001</v>
      </c>
      <c r="I503" s="22">
        <v>1.8459000000000001</v>
      </c>
      <c r="J503" s="22"/>
      <c r="K503" s="22"/>
    </row>
    <row r="504" spans="3:11" x14ac:dyDescent="0.25">
      <c r="C504" s="22">
        <v>5</v>
      </c>
      <c r="D504" s="22">
        <v>1.9895</v>
      </c>
      <c r="E504" s="22">
        <v>1.9883</v>
      </c>
      <c r="F504" s="22">
        <v>1.9907999999999999</v>
      </c>
      <c r="G504" s="22">
        <v>1.9634</v>
      </c>
      <c r="H504" s="22">
        <v>1.9484999999999999</v>
      </c>
      <c r="I504" s="22">
        <v>1.9906999999999999</v>
      </c>
      <c r="J504" s="22">
        <v>2.008</v>
      </c>
      <c r="K504" s="22">
        <v>1.9637</v>
      </c>
    </row>
    <row r="505" spans="3:11" x14ac:dyDescent="0.25">
      <c r="C505" s="22">
        <v>7</v>
      </c>
      <c r="D505" s="22">
        <v>2.2904</v>
      </c>
      <c r="E505" s="22">
        <v>2.2913999999999999</v>
      </c>
      <c r="F505" s="22">
        <v>2.2945000000000002</v>
      </c>
      <c r="G505" s="22">
        <v>2.2782</v>
      </c>
      <c r="H505" s="22">
        <v>2.2482000000000002</v>
      </c>
      <c r="I505" s="22">
        <v>2.2949000000000002</v>
      </c>
      <c r="J505" s="22"/>
      <c r="K505" s="22"/>
    </row>
    <row r="506" spans="3:11" x14ac:dyDescent="0.25">
      <c r="C506" s="22">
        <v>10</v>
      </c>
      <c r="D506" s="22">
        <v>2.7557999999999998</v>
      </c>
      <c r="E506" s="22">
        <v>2.7637999999999998</v>
      </c>
      <c r="F506" s="22">
        <v>2.7681</v>
      </c>
      <c r="G506" s="22">
        <v>2.7536</v>
      </c>
      <c r="H506" s="22">
        <v>2.7789999999999999</v>
      </c>
      <c r="I506" s="22">
        <v>2.7686000000000002</v>
      </c>
      <c r="J506" s="22">
        <v>2.7863000000000002</v>
      </c>
      <c r="K506" s="22">
        <v>2.7349999999999999</v>
      </c>
    </row>
    <row r="509" spans="3:11" x14ac:dyDescent="0.25">
      <c r="C509" t="s">
        <v>162</v>
      </c>
    </row>
    <row r="510" spans="3:11" x14ac:dyDescent="0.25">
      <c r="C510" t="s">
        <v>163</v>
      </c>
    </row>
    <row r="511" spans="3:11" x14ac:dyDescent="0.25">
      <c r="C511" t="s">
        <v>164</v>
      </c>
    </row>
    <row r="512" spans="3:11" x14ac:dyDescent="0.25">
      <c r="C512" t="s">
        <v>165</v>
      </c>
    </row>
    <row r="513" spans="2:11" x14ac:dyDescent="0.25">
      <c r="C513" t="s">
        <v>166</v>
      </c>
    </row>
    <row r="514" spans="2:11" x14ac:dyDescent="0.25">
      <c r="C514" t="s">
        <v>167</v>
      </c>
    </row>
    <row r="515" spans="2:11" x14ac:dyDescent="0.25">
      <c r="C515" t="s">
        <v>168</v>
      </c>
    </row>
    <row r="516" spans="2:11" x14ac:dyDescent="0.25">
      <c r="C516" t="s">
        <v>169</v>
      </c>
    </row>
    <row r="518" spans="2:11" x14ac:dyDescent="0.25">
      <c r="C518" s="12" t="s">
        <v>171</v>
      </c>
    </row>
    <row r="519" spans="2:11" x14ac:dyDescent="0.25">
      <c r="B519" t="s">
        <v>67</v>
      </c>
      <c r="C519" s="21" t="s">
        <v>69</v>
      </c>
      <c r="D519" s="21" t="s">
        <v>156</v>
      </c>
      <c r="E519" s="21" t="s">
        <v>157</v>
      </c>
      <c r="F519" s="21" t="s">
        <v>158</v>
      </c>
      <c r="G519" s="21" t="s">
        <v>19</v>
      </c>
      <c r="H519" s="21" t="s">
        <v>159</v>
      </c>
      <c r="I519" s="21" t="s">
        <v>160</v>
      </c>
      <c r="J519" s="21" t="s">
        <v>161</v>
      </c>
      <c r="K519" s="21" t="s">
        <v>25</v>
      </c>
    </row>
    <row r="520" spans="2:11" x14ac:dyDescent="0.25">
      <c r="B520">
        <f>C520*2/SQRT(PI())</f>
        <v>1.1283791670955126E-2</v>
      </c>
      <c r="C520" s="22">
        <v>0.01</v>
      </c>
      <c r="D520" s="22">
        <f>D497*2/SQRT(PI())</f>
        <v>3.4414436217246043</v>
      </c>
      <c r="E520" s="22">
        <f t="shared" ref="E520:J520" si="171">E497*2/SQRT(PI())</f>
        <v>3.4403152425575088</v>
      </c>
      <c r="F520" s="22">
        <f t="shared" si="171"/>
        <v>2.4952976901150166</v>
      </c>
      <c r="G520" s="22"/>
      <c r="H520" s="22"/>
      <c r="I520" s="22"/>
      <c r="J520" s="22">
        <f t="shared" si="171"/>
        <v>3.4437003800587949</v>
      </c>
      <c r="K520" s="22"/>
    </row>
    <row r="521" spans="2:11" x14ac:dyDescent="0.25">
      <c r="B521">
        <f t="shared" ref="B521:B529" si="172">C521*2/SQRT(PI())</f>
        <v>0.11283791670955128</v>
      </c>
      <c r="C521" s="22">
        <v>0.1</v>
      </c>
      <c r="D521" s="22">
        <f t="shared" ref="D521:K521" si="173">D498*2/SQRT(PI())</f>
        <v>2.2937691708717582</v>
      </c>
      <c r="E521" s="22">
        <f t="shared" si="173"/>
        <v>2.2921894400378244</v>
      </c>
      <c r="F521" s="22">
        <f t="shared" si="173"/>
        <v>2.2374630504336923</v>
      </c>
      <c r="G521" s="22">
        <f t="shared" si="173"/>
        <v>2.1233839166403357</v>
      </c>
      <c r="H521" s="22">
        <f t="shared" si="173"/>
        <v>2.353911780477949</v>
      </c>
      <c r="I521" s="22">
        <f t="shared" si="173"/>
        <v>2.2936563329550488</v>
      </c>
      <c r="J521" s="22">
        <f t="shared" si="173"/>
        <v>2.301554987124717</v>
      </c>
      <c r="K521" s="22">
        <f t="shared" si="173"/>
        <v>2.1798028749951115</v>
      </c>
    </row>
    <row r="522" spans="2:11" x14ac:dyDescent="0.25">
      <c r="B522">
        <f t="shared" si="172"/>
        <v>0.22567583341910255</v>
      </c>
      <c r="C522" s="22">
        <v>0.2</v>
      </c>
      <c r="D522" s="22">
        <f t="shared" ref="D522:K522" si="174">D499*2/SQRT(PI())</f>
        <v>2.0404480478588156</v>
      </c>
      <c r="E522" s="22">
        <f t="shared" si="174"/>
        <v>2.0399966961919773</v>
      </c>
      <c r="F522" s="22">
        <f t="shared" si="174"/>
        <v>2.049926432862418</v>
      </c>
      <c r="G522" s="22">
        <f t="shared" si="174"/>
        <v>1.9175675565621142</v>
      </c>
      <c r="H522" s="22">
        <f t="shared" si="174"/>
        <v>2.0835521320418642</v>
      </c>
      <c r="I522" s="22"/>
      <c r="J522" s="22"/>
      <c r="K522" s="22">
        <f t="shared" si="174"/>
        <v>1.9641696161631588</v>
      </c>
    </row>
    <row r="523" spans="2:11" x14ac:dyDescent="0.25">
      <c r="B523">
        <f t="shared" si="172"/>
        <v>0.56418958354775628</v>
      </c>
      <c r="C523" s="22">
        <v>0.5</v>
      </c>
      <c r="D523" s="22">
        <f t="shared" ref="D523:K523" si="175">D500*2/SQRT(PI())</f>
        <v>1.8073249119368826</v>
      </c>
      <c r="E523" s="22">
        <f t="shared" si="175"/>
        <v>1.8073249119368826</v>
      </c>
      <c r="F523" s="22">
        <f t="shared" si="175"/>
        <v>1.8110485631882978</v>
      </c>
      <c r="G523" s="22">
        <f t="shared" si="175"/>
        <v>1.7479721677476585</v>
      </c>
      <c r="H523" s="22">
        <f t="shared" si="175"/>
        <v>1.8241377615266059</v>
      </c>
      <c r="I523" s="22">
        <f t="shared" si="175"/>
        <v>1.8074377498535921</v>
      </c>
      <c r="J523" s="22">
        <f t="shared" si="175"/>
        <v>1.8219938411091243</v>
      </c>
      <c r="K523" s="22">
        <f t="shared" si="175"/>
        <v>1.7610613660859666</v>
      </c>
    </row>
    <row r="524" spans="2:11" x14ac:dyDescent="0.25">
      <c r="B524">
        <f t="shared" si="172"/>
        <v>1.1283791670955126</v>
      </c>
      <c r="C524" s="22">
        <v>1</v>
      </c>
      <c r="D524" s="22">
        <f t="shared" ref="D524:K524" si="176">D501*2/SQRT(PI())</f>
        <v>1.7353343210761889</v>
      </c>
      <c r="E524" s="22">
        <f t="shared" si="176"/>
        <v>1.7364627002432844</v>
      </c>
      <c r="F524" s="22">
        <f t="shared" si="176"/>
        <v>1.735559996909608</v>
      </c>
      <c r="G524" s="22">
        <f t="shared" si="176"/>
        <v>1.7056579489815771</v>
      </c>
      <c r="H524" s="22">
        <f t="shared" si="176"/>
        <v>1.7312721560746451</v>
      </c>
      <c r="I524" s="22">
        <f t="shared" si="176"/>
        <v>1.7361241864931558</v>
      </c>
      <c r="J524" s="22">
        <f t="shared" si="176"/>
        <v>1.7536140635831363</v>
      </c>
      <c r="K524" s="22">
        <f t="shared" si="176"/>
        <v>1.7022728114802903</v>
      </c>
    </row>
    <row r="525" spans="2:11" x14ac:dyDescent="0.25">
      <c r="B525">
        <f t="shared" si="172"/>
        <v>2.2567583341910251</v>
      </c>
      <c r="C525" s="22">
        <v>2</v>
      </c>
      <c r="D525" s="22">
        <f t="shared" ref="D525:K525" si="177">D502*2/SQRT(PI())</f>
        <v>1.7954769306823797</v>
      </c>
      <c r="E525" s="22">
        <f t="shared" si="177"/>
        <v>1.7988620681836665</v>
      </c>
      <c r="F525" s="22">
        <f t="shared" si="177"/>
        <v>1.7997647715173426</v>
      </c>
      <c r="G525" s="22">
        <f t="shared" si="177"/>
        <v>1.7479721677476585</v>
      </c>
      <c r="H525" s="22">
        <f t="shared" si="177"/>
        <v>1.7725708335903407</v>
      </c>
      <c r="I525" s="22">
        <f t="shared" si="177"/>
        <v>1.7995390956839237</v>
      </c>
      <c r="J525" s="22"/>
      <c r="K525" s="22">
        <f t="shared" si="177"/>
        <v>1.7694113719224736</v>
      </c>
    </row>
    <row r="526" spans="2:11" x14ac:dyDescent="0.25">
      <c r="B526">
        <f t="shared" si="172"/>
        <v>4.5135166683820502</v>
      </c>
      <c r="C526" s="22">
        <v>4</v>
      </c>
      <c r="D526" s="22">
        <f t="shared" ref="D526:I526" si="178">D503*2/SQRT(PI())</f>
        <v>2.0818595632912209</v>
      </c>
      <c r="E526" s="22">
        <f t="shared" si="178"/>
        <v>2.0807311841241254</v>
      </c>
      <c r="F526" s="22">
        <f t="shared" si="178"/>
        <v>2.082875104541607</v>
      </c>
      <c r="G526" s="22">
        <f t="shared" si="178"/>
        <v>2.0263433082701217</v>
      </c>
      <c r="H526" s="22">
        <f t="shared" si="178"/>
        <v>2.0395453445251395</v>
      </c>
      <c r="I526" s="22">
        <f t="shared" si="178"/>
        <v>2.082875104541607</v>
      </c>
      <c r="J526" s="22"/>
      <c r="K526" s="22"/>
    </row>
    <row r="527" spans="2:11" x14ac:dyDescent="0.25">
      <c r="B527">
        <f t="shared" si="172"/>
        <v>5.6418958354775635</v>
      </c>
      <c r="C527" s="22">
        <v>5</v>
      </c>
      <c r="D527" s="22">
        <f t="shared" ref="D527:K527" si="179">D504*2/SQRT(PI())</f>
        <v>2.2449103529365226</v>
      </c>
      <c r="E527" s="22">
        <f t="shared" si="179"/>
        <v>2.2435562979360077</v>
      </c>
      <c r="F527" s="22">
        <f t="shared" si="179"/>
        <v>2.2463772458537465</v>
      </c>
      <c r="G527" s="22">
        <f t="shared" si="179"/>
        <v>2.2154596566753297</v>
      </c>
      <c r="H527" s="22">
        <f t="shared" si="179"/>
        <v>2.1986468070856064</v>
      </c>
      <c r="I527" s="22">
        <f t="shared" si="179"/>
        <v>2.2462644079370371</v>
      </c>
      <c r="J527" s="22">
        <f t="shared" si="179"/>
        <v>2.2657853675277893</v>
      </c>
      <c r="K527" s="22">
        <f t="shared" si="179"/>
        <v>2.2157981704254581</v>
      </c>
    </row>
    <row r="528" spans="2:11" x14ac:dyDescent="0.25">
      <c r="B528">
        <f t="shared" si="172"/>
        <v>7.898654169668589</v>
      </c>
      <c r="C528" s="22">
        <v>7</v>
      </c>
      <c r="D528" s="22">
        <f t="shared" ref="D528:K528" si="180">D505*2/SQRT(PI())</f>
        <v>2.5844396443155624</v>
      </c>
      <c r="E528" s="22">
        <f t="shared" si="180"/>
        <v>2.5855680234826575</v>
      </c>
      <c r="F528" s="22">
        <f t="shared" si="180"/>
        <v>2.5890659989006539</v>
      </c>
      <c r="G528" s="22">
        <f t="shared" si="180"/>
        <v>2.5706734184769968</v>
      </c>
      <c r="H528" s="22">
        <f t="shared" si="180"/>
        <v>2.5368220434641318</v>
      </c>
      <c r="I528" s="22">
        <f t="shared" si="180"/>
        <v>2.5895173505674922</v>
      </c>
      <c r="J528" s="22"/>
      <c r="K528" s="22">
        <f t="shared" si="180"/>
        <v>0</v>
      </c>
    </row>
    <row r="529" spans="2:11" x14ac:dyDescent="0.25">
      <c r="B529">
        <f t="shared" si="172"/>
        <v>11.283791670955127</v>
      </c>
      <c r="C529" s="22">
        <v>10</v>
      </c>
      <c r="D529" s="22">
        <f t="shared" ref="D529:K529" si="181">D506*2/SQRT(PI())</f>
        <v>3.1095873086818138</v>
      </c>
      <c r="E529" s="22">
        <f t="shared" si="181"/>
        <v>3.1186143420185779</v>
      </c>
      <c r="F529" s="22">
        <f t="shared" si="181"/>
        <v>3.1234663724370888</v>
      </c>
      <c r="G529" s="22">
        <f t="shared" si="181"/>
        <v>3.1071048745142038</v>
      </c>
      <c r="H529" s="22">
        <f t="shared" si="181"/>
        <v>3.1357657053584296</v>
      </c>
      <c r="I529" s="22">
        <f t="shared" si="181"/>
        <v>3.1240305620206366</v>
      </c>
      <c r="J529" s="22">
        <f t="shared" si="181"/>
        <v>3.144002873278227</v>
      </c>
      <c r="K529" s="22">
        <f t="shared" si="181"/>
        <v>3.0861170220062268</v>
      </c>
    </row>
    <row r="533" spans="2:11" x14ac:dyDescent="0.25">
      <c r="B533" s="12" t="s">
        <v>192</v>
      </c>
    </row>
    <row r="534" spans="2:11" x14ac:dyDescent="0.25">
      <c r="B534" s="34" t="s">
        <v>28</v>
      </c>
      <c r="C534" s="34" t="s">
        <v>47</v>
      </c>
      <c r="D534" s="34" t="s">
        <v>70</v>
      </c>
      <c r="G534" s="34" t="s">
        <v>28</v>
      </c>
      <c r="H534" s="12" t="s">
        <v>195</v>
      </c>
    </row>
    <row r="535" spans="2:11" x14ac:dyDescent="0.25">
      <c r="B535">
        <v>10</v>
      </c>
      <c r="C535">
        <v>0.239677</v>
      </c>
      <c r="D535">
        <f>C535*B535*2/PI()</f>
        <v>1.525831171817448</v>
      </c>
      <c r="G535">
        <v>30</v>
      </c>
      <c r="H535">
        <v>5152793</v>
      </c>
      <c r="I535">
        <v>646584</v>
      </c>
      <c r="J535">
        <f>I535/(I535+H535)</f>
        <v>0.1114919757760187</v>
      </c>
    </row>
    <row r="536" spans="2:11" x14ac:dyDescent="0.25">
      <c r="B536">
        <v>30</v>
      </c>
      <c r="C536">
        <v>0.11589000000000001</v>
      </c>
      <c r="D536">
        <f>C536*B536*2/PI()</f>
        <v>2.2133359625903704</v>
      </c>
      <c r="G536">
        <v>30</v>
      </c>
      <c r="H536">
        <v>4664979</v>
      </c>
      <c r="I536">
        <v>584230</v>
      </c>
      <c r="J536">
        <f>I536/(I536+H536)</f>
        <v>0.11129867376208491</v>
      </c>
    </row>
    <row r="537" spans="2:11" x14ac:dyDescent="0.25">
      <c r="B537">
        <v>30</v>
      </c>
      <c r="C537">
        <v>0.1114919757760187</v>
      </c>
      <c r="D537">
        <f>C537*B537*2/PI()</f>
        <v>2.1293398871802278</v>
      </c>
      <c r="G537">
        <v>10</v>
      </c>
      <c r="H537">
        <v>4364404</v>
      </c>
      <c r="I537">
        <v>1352704</v>
      </c>
      <c r="J537">
        <f>I537/(I537+H537)</f>
        <v>0.23660634012861048</v>
      </c>
    </row>
    <row r="538" spans="2:11" x14ac:dyDescent="0.25">
      <c r="B538">
        <v>10</v>
      </c>
      <c r="C538">
        <v>0.239677</v>
      </c>
      <c r="D538">
        <f>C538*B538*2/PI()</f>
        <v>1.525831171817448</v>
      </c>
    </row>
    <row r="539" spans="2:11" x14ac:dyDescent="0.25">
      <c r="F539">
        <v>1E-3</v>
      </c>
      <c r="G539">
        <f>$D$536</f>
        <v>2.2133359625903704</v>
      </c>
      <c r="H539">
        <v>1.525831171817448</v>
      </c>
      <c r="I539">
        <f>H539*SQRT(PI())/2</f>
        <v>1.3522326681597558</v>
      </c>
    </row>
    <row r="540" spans="2:11" x14ac:dyDescent="0.25">
      <c r="F540">
        <v>2E-3</v>
      </c>
      <c r="G540">
        <f>$D$536</f>
        <v>2.2133359625903704</v>
      </c>
      <c r="H540">
        <v>1.525831171817448</v>
      </c>
      <c r="I540">
        <f>H540*SQRT(PI())/2</f>
        <v>1.3522326681597558</v>
      </c>
    </row>
    <row r="544" spans="2:11" x14ac:dyDescent="0.25">
      <c r="B544" t="s">
        <v>212</v>
      </c>
      <c r="D544" t="s">
        <v>215</v>
      </c>
    </row>
    <row r="545" spans="2:7" x14ac:dyDescent="0.25">
      <c r="B545" t="s">
        <v>213</v>
      </c>
      <c r="C545" t="s">
        <v>146</v>
      </c>
      <c r="D545" t="s">
        <v>214</v>
      </c>
      <c r="E545" t="s">
        <v>67</v>
      </c>
    </row>
    <row r="546" spans="2:7" x14ac:dyDescent="0.25">
      <c r="C546">
        <v>0</v>
      </c>
      <c r="D546">
        <v>2.71</v>
      </c>
      <c r="E546">
        <f>C546*4/SQRT(PI())</f>
        <v>0</v>
      </c>
      <c r="F546">
        <f>D546*2/SQRT(PI())/2</f>
        <v>1.5289537714144197</v>
      </c>
    </row>
    <row r="547" spans="2:7" x14ac:dyDescent="0.25">
      <c r="C547">
        <v>0.01</v>
      </c>
      <c r="D547">
        <v>2.69</v>
      </c>
      <c r="E547">
        <f t="shared" ref="E547:E555" si="182">C547*4/SQRT(PI())</f>
        <v>2.2567583341910252E-2</v>
      </c>
      <c r="F547">
        <f t="shared" ref="F547:F555" si="183">D547*2/SQRT(PI())/2</f>
        <v>1.5176699797434645</v>
      </c>
      <c r="G547">
        <f>D547/2</f>
        <v>1.345</v>
      </c>
    </row>
    <row r="548" spans="2:7" x14ac:dyDescent="0.25">
      <c r="C548">
        <v>0.1</v>
      </c>
      <c r="D548">
        <v>2.58</v>
      </c>
      <c r="E548">
        <f t="shared" si="182"/>
        <v>0.22567583341910255</v>
      </c>
      <c r="F548">
        <f t="shared" si="183"/>
        <v>1.4556091255532113</v>
      </c>
      <c r="G548">
        <f t="shared" ref="G548:G555" si="184">D548/2</f>
        <v>1.29</v>
      </c>
    </row>
    <row r="549" spans="2:7" x14ac:dyDescent="0.25">
      <c r="C549">
        <v>1</v>
      </c>
      <c r="D549">
        <v>2.77</v>
      </c>
      <c r="E549">
        <f t="shared" si="182"/>
        <v>2.2567583341910251</v>
      </c>
      <c r="F549">
        <f t="shared" si="183"/>
        <v>1.562805146427285</v>
      </c>
      <c r="G549">
        <f t="shared" si="184"/>
        <v>1.385</v>
      </c>
    </row>
    <row r="550" spans="2:7" x14ac:dyDescent="0.25">
      <c r="C550">
        <v>2</v>
      </c>
      <c r="D550">
        <f>1.65*2</f>
        <v>3.3</v>
      </c>
      <c r="E550">
        <f t="shared" si="182"/>
        <v>4.5135166683820502</v>
      </c>
      <c r="F550">
        <f t="shared" si="183"/>
        <v>1.8618256257075958</v>
      </c>
      <c r="G550">
        <f t="shared" si="184"/>
        <v>1.65</v>
      </c>
    </row>
    <row r="551" spans="2:7" x14ac:dyDescent="0.25">
      <c r="C551">
        <v>5</v>
      </c>
      <c r="D551">
        <v>5</v>
      </c>
      <c r="E551">
        <f t="shared" si="182"/>
        <v>11.283791670955127</v>
      </c>
      <c r="F551">
        <f t="shared" si="183"/>
        <v>2.8209479177387817</v>
      </c>
      <c r="G551">
        <f t="shared" si="184"/>
        <v>2.5</v>
      </c>
    </row>
    <row r="552" spans="2:7" x14ac:dyDescent="0.25">
      <c r="C552">
        <v>10</v>
      </c>
      <c r="D552">
        <v>7.99</v>
      </c>
      <c r="E552">
        <f t="shared" si="182"/>
        <v>22.567583341910254</v>
      </c>
      <c r="F552">
        <f t="shared" si="183"/>
        <v>4.5078747725465735</v>
      </c>
      <c r="G552">
        <f t="shared" si="184"/>
        <v>3.9950000000000001</v>
      </c>
    </row>
    <row r="553" spans="2:7" x14ac:dyDescent="0.25">
      <c r="C553">
        <v>30</v>
      </c>
      <c r="D553">
        <v>19.7</v>
      </c>
      <c r="E553">
        <f t="shared" si="182"/>
        <v>67.702750025730765</v>
      </c>
      <c r="F553">
        <f t="shared" si="183"/>
        <v>11.114534795890799</v>
      </c>
      <c r="G553">
        <f t="shared" si="184"/>
        <v>9.85</v>
      </c>
    </row>
    <row r="554" spans="2:7" x14ac:dyDescent="0.25">
      <c r="C554">
        <v>50</v>
      </c>
      <c r="D554">
        <v>30.1</v>
      </c>
      <c r="E554">
        <f t="shared" si="182"/>
        <v>112.83791670955127</v>
      </c>
      <c r="F554">
        <f t="shared" si="183"/>
        <v>16.982106464787467</v>
      </c>
      <c r="G554">
        <f t="shared" si="184"/>
        <v>15.05</v>
      </c>
    </row>
    <row r="555" spans="2:7" x14ac:dyDescent="0.25">
      <c r="C555">
        <v>100</v>
      </c>
      <c r="D555">
        <v>47.8</v>
      </c>
      <c r="E555">
        <f t="shared" si="182"/>
        <v>225.67583341910253</v>
      </c>
      <c r="F555">
        <f t="shared" si="183"/>
        <v>26.968262093582752</v>
      </c>
      <c r="G555">
        <f t="shared" si="184"/>
        <v>23.9</v>
      </c>
    </row>
  </sheetData>
  <sortState xmlns:xlrd2="http://schemas.microsoft.com/office/spreadsheetml/2017/richdata2" ref="C370:N381">
    <sortCondition ref="I370:I381"/>
  </sortState>
  <mergeCells count="14">
    <mergeCell ref="B3:W3"/>
    <mergeCell ref="K151:M151"/>
    <mergeCell ref="P151:Q151"/>
    <mergeCell ref="AA236:AB236"/>
    <mergeCell ref="AE234:AE236"/>
    <mergeCell ref="AH433:AK444"/>
    <mergeCell ref="AO260:AT260"/>
    <mergeCell ref="BD239:BI239"/>
    <mergeCell ref="BL239:BQ239"/>
    <mergeCell ref="AF234:AF236"/>
    <mergeCell ref="AG234:AG237"/>
    <mergeCell ref="AH236:AI236"/>
    <mergeCell ref="AJ236:AK236"/>
    <mergeCell ref="Y260:AJ26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I18"/>
  <sheetViews>
    <sheetView workbookViewId="0">
      <selection activeCell="M11" sqref="M11"/>
    </sheetView>
  </sheetViews>
  <sheetFormatPr defaultRowHeight="13.2" x14ac:dyDescent="0.25"/>
  <sheetData>
    <row r="3" spans="4:9" x14ac:dyDescent="0.25">
      <c r="D3" s="104" t="s">
        <v>244</v>
      </c>
      <c r="E3" s="104"/>
      <c r="F3" s="104"/>
      <c r="G3" s="104"/>
      <c r="H3" s="104"/>
      <c r="I3" s="104"/>
    </row>
    <row r="4" spans="4:9" x14ac:dyDescent="0.25">
      <c r="D4" s="104" t="s">
        <v>243</v>
      </c>
      <c r="E4" s="104"/>
      <c r="F4" s="104" t="s">
        <v>245</v>
      </c>
      <c r="G4" s="104"/>
      <c r="H4" s="104" t="s">
        <v>246</v>
      </c>
      <c r="I4" s="104"/>
    </row>
    <row r="5" spans="4:9" x14ac:dyDescent="0.25">
      <c r="D5" s="44" t="s">
        <v>67</v>
      </c>
      <c r="E5" s="44" t="s">
        <v>181</v>
      </c>
      <c r="F5" s="44" t="s">
        <v>67</v>
      </c>
      <c r="G5" s="44" t="s">
        <v>181</v>
      </c>
      <c r="H5" s="44" t="s">
        <v>67</v>
      </c>
      <c r="I5" s="44" t="s">
        <v>181</v>
      </c>
    </row>
    <row r="6" spans="4:9" x14ac:dyDescent="0.25">
      <c r="D6" s="69">
        <v>0.01</v>
      </c>
      <c r="E6" s="70">
        <v>1.5355046421908625</v>
      </c>
      <c r="F6" s="69">
        <v>2.2567583341910252E-2</v>
      </c>
      <c r="G6" s="70">
        <v>1.5176699797434645</v>
      </c>
      <c r="H6" s="69">
        <v>1.1283791670955126E-2</v>
      </c>
      <c r="I6" s="70">
        <v>1.5458794589208524</v>
      </c>
    </row>
    <row r="7" spans="4:9" x14ac:dyDescent="0.25">
      <c r="D7" s="69">
        <v>1.5263833795432729E-2</v>
      </c>
      <c r="E7" s="70">
        <v>1.5433583179302139</v>
      </c>
      <c r="F7" s="69">
        <v>0.22567583341910255</v>
      </c>
      <c r="G7" s="70">
        <v>1.4556091255532113</v>
      </c>
      <c r="H7" s="69">
        <v>2.2567583341910252E-2</v>
      </c>
      <c r="I7" s="70">
        <v>1.5458794589208524</v>
      </c>
    </row>
    <row r="8" spans="4:9" x14ac:dyDescent="0.25">
      <c r="D8" s="69">
        <v>2.4861325222164086E-2</v>
      </c>
      <c r="E8" s="70">
        <v>1.5495678662770533</v>
      </c>
      <c r="F8" s="69">
        <v>2.2567583341910251</v>
      </c>
      <c r="G8" s="70">
        <v>1.562805146427285</v>
      </c>
      <c r="H8" s="69">
        <v>5.2547831830448088E-2</v>
      </c>
      <c r="I8" s="70">
        <v>1.5458794589208524</v>
      </c>
    </row>
    <row r="9" spans="4:9" x14ac:dyDescent="0.25">
      <c r="D9" s="69">
        <v>3.968714814397508E-2</v>
      </c>
      <c r="E9" s="70">
        <v>1.5287749789360394</v>
      </c>
      <c r="F9" s="69">
        <v>4.5135166683820502</v>
      </c>
      <c r="G9" s="70">
        <v>1.8618256257075958</v>
      </c>
      <c r="H9" s="69">
        <v>9.6691240387863461E-2</v>
      </c>
      <c r="I9" s="70">
        <v>1.5233118755789421</v>
      </c>
    </row>
    <row r="10" spans="4:9" x14ac:dyDescent="0.25">
      <c r="D10" s="69">
        <v>9.9976078744302421E-2</v>
      </c>
      <c r="E10" s="70">
        <v>1.490630698033325</v>
      </c>
      <c r="F10" s="69">
        <v>11.283791670955127</v>
      </c>
      <c r="G10" s="70">
        <v>2.8209479177387817</v>
      </c>
      <c r="H10" s="69">
        <v>0.1696614507446832</v>
      </c>
      <c r="I10" s="70">
        <v>1.4781767088951216</v>
      </c>
    </row>
    <row r="11" spans="4:9" x14ac:dyDescent="0.25">
      <c r="D11" s="69">
        <v>0.24832092706301992</v>
      </c>
      <c r="E11" s="70">
        <v>1.4056251136457256</v>
      </c>
      <c r="F11" s="69">
        <v>22.567583341910254</v>
      </c>
      <c r="G11" s="70">
        <v>4.5078747725465735</v>
      </c>
      <c r="H11" s="69">
        <v>0.26435559546062132</v>
      </c>
      <c r="I11" s="70">
        <v>1.4443253338822561</v>
      </c>
    </row>
    <row r="12" spans="4:9" x14ac:dyDescent="0.25">
      <c r="D12" s="69">
        <v>0.38157581658478351</v>
      </c>
      <c r="E12" s="70">
        <v>1.4227886566271877</v>
      </c>
      <c r="F12" s="69">
        <v>67.702750025730765</v>
      </c>
      <c r="G12" s="70">
        <v>11.114534795890799</v>
      </c>
      <c r="H12" s="69">
        <v>0.40223114532988807</v>
      </c>
      <c r="I12" s="70">
        <v>1.421757750540346</v>
      </c>
    </row>
    <row r="13" spans="4:9" x14ac:dyDescent="0.25">
      <c r="D13" s="69">
        <v>0.6243847057662828</v>
      </c>
      <c r="E13" s="70">
        <v>1.3714700718928843</v>
      </c>
      <c r="F13" s="69">
        <v>112.83791670955127</v>
      </c>
      <c r="G13" s="70">
        <v>16.982106464787467</v>
      </c>
      <c r="H13" s="69">
        <v>0.67702750025730762</v>
      </c>
      <c r="I13" s="70">
        <v>1.421757750540346</v>
      </c>
    </row>
    <row r="14" spans="4:9" x14ac:dyDescent="0.25">
      <c r="D14" s="69">
        <v>0.98975461890049388</v>
      </c>
      <c r="E14" s="70">
        <v>1.4054905395797832</v>
      </c>
      <c r="F14" s="69">
        <v>225.67583341910253</v>
      </c>
      <c r="G14" s="70">
        <v>26.968262093582752</v>
      </c>
      <c r="H14" s="69">
        <v>1.241217083805064</v>
      </c>
      <c r="I14" s="70">
        <v>1.4781767088951216</v>
      </c>
    </row>
    <row r="15" spans="4:9" x14ac:dyDescent="0.25">
      <c r="D15" s="69">
        <v>1.651432461376195</v>
      </c>
      <c r="E15" s="70">
        <v>1.4726243746613297</v>
      </c>
      <c r="F15" s="69"/>
      <c r="G15" s="70"/>
      <c r="H15" s="69">
        <v>2.777695517608568</v>
      </c>
      <c r="I15" s="70">
        <v>1.6587173756304037</v>
      </c>
    </row>
    <row r="16" spans="4:9" x14ac:dyDescent="0.25">
      <c r="D16" s="69">
        <v>2.4727018223246229</v>
      </c>
      <c r="E16" s="70">
        <v>1.5618938893719538</v>
      </c>
      <c r="F16" s="69"/>
      <c r="G16" s="70"/>
      <c r="H16" s="69">
        <v>5.2756319752069105</v>
      </c>
      <c r="I16" s="70">
        <v>1.9520959590752369</v>
      </c>
    </row>
    <row r="17" spans="4:9" x14ac:dyDescent="0.25">
      <c r="D17" s="69">
        <v>6.0857324246411437</v>
      </c>
      <c r="E17" s="70">
        <v>2.0964487856748204</v>
      </c>
      <c r="F17" s="69"/>
      <c r="G17" s="70"/>
      <c r="H17" s="69">
        <v>8.0271555744033964</v>
      </c>
      <c r="I17" s="70">
        <v>2.313177292545801</v>
      </c>
    </row>
    <row r="18" spans="4:9" x14ac:dyDescent="0.25">
      <c r="D18" s="71">
        <v>11.85067962161777</v>
      </c>
      <c r="E18" s="72">
        <v>2.9254444683150811</v>
      </c>
      <c r="F18" s="71"/>
      <c r="G18" s="72"/>
      <c r="H18" s="71">
        <v>11.283791670955127</v>
      </c>
      <c r="I18" s="72">
        <v>2.8209479177387817</v>
      </c>
    </row>
  </sheetData>
  <mergeCells count="4">
    <mergeCell ref="D4:E4"/>
    <mergeCell ref="F4:G4"/>
    <mergeCell ref="H4:I4"/>
    <mergeCell ref="D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4"/>
  <sheetViews>
    <sheetView workbookViewId="0"/>
  </sheetViews>
  <sheetFormatPr defaultRowHeight="13.2" x14ac:dyDescent="0.25"/>
  <cols>
    <col min="3" max="3" width="19" customWidth="1"/>
    <col min="4" max="4" width="15.33203125" customWidth="1"/>
    <col min="5" max="5" width="14.44140625" customWidth="1"/>
  </cols>
  <sheetData>
    <row r="2" spans="2:13" x14ac:dyDescent="0.25">
      <c r="B2">
        <v>5.0000000000000001E-4</v>
      </c>
      <c r="C2">
        <v>4</v>
      </c>
      <c r="E2">
        <v>5</v>
      </c>
      <c r="F2">
        <v>1</v>
      </c>
    </row>
    <row r="3" spans="2:13" x14ac:dyDescent="0.25">
      <c r="B3">
        <v>6.23</v>
      </c>
      <c r="C3">
        <v>11.26</v>
      </c>
      <c r="E3">
        <v>17.86</v>
      </c>
      <c r="F3">
        <v>28.27</v>
      </c>
    </row>
    <row r="4" spans="2:13" x14ac:dyDescent="0.25">
      <c r="B4" t="s">
        <v>80</v>
      </c>
      <c r="C4">
        <f>(E3-B3)/(E2-B2)</f>
        <v>2.3262326232623258</v>
      </c>
    </row>
    <row r="5" spans="2:13" x14ac:dyDescent="0.25">
      <c r="B5" t="s">
        <v>77</v>
      </c>
      <c r="C5">
        <f>(C2-F2)/(C3-F3)</f>
        <v>-0.17636684303350972</v>
      </c>
    </row>
    <row r="8" spans="2:13" x14ac:dyDescent="0.25">
      <c r="B8" t="s">
        <v>78</v>
      </c>
      <c r="F8" t="s">
        <v>81</v>
      </c>
      <c r="J8" t="s">
        <v>81</v>
      </c>
    </row>
    <row r="9" spans="2:13" x14ac:dyDescent="0.25">
      <c r="B9" t="s">
        <v>79</v>
      </c>
      <c r="C9" t="s">
        <v>7</v>
      </c>
      <c r="D9" t="s">
        <v>19</v>
      </c>
      <c r="E9" t="s">
        <v>73</v>
      </c>
      <c r="F9" t="s">
        <v>79</v>
      </c>
      <c r="G9" t="s">
        <v>7</v>
      </c>
      <c r="H9" t="s">
        <v>19</v>
      </c>
      <c r="I9" t="s">
        <v>73</v>
      </c>
      <c r="J9" t="s">
        <v>79</v>
      </c>
      <c r="K9" t="s">
        <v>7</v>
      </c>
      <c r="L9" t="s">
        <v>19</v>
      </c>
      <c r="M9" t="s">
        <v>73</v>
      </c>
    </row>
    <row r="10" spans="2:13" x14ac:dyDescent="0.25">
      <c r="B10">
        <v>6.23</v>
      </c>
      <c r="C10">
        <v>19.87</v>
      </c>
      <c r="D10">
        <f>POWER(10,(B10-$B$3)/($E$3-$B$3)*4)*$B$2</f>
        <v>5.0000000000000001E-4</v>
      </c>
      <c r="E10">
        <f>$F$2+(C10-$F$3)*$C$5</f>
        <v>2.4814814814814814</v>
      </c>
      <c r="F10">
        <v>6.24</v>
      </c>
      <c r="G10">
        <v>21.45</v>
      </c>
      <c r="H10">
        <f>POWER(10,(F10-$B$3)/($E$3-$B$3)*4)*$B$2</f>
        <v>5.0397545457129427E-4</v>
      </c>
      <c r="I10">
        <f>$F$2+(G10-$F$3)*$C$5</f>
        <v>2.2028218694885364</v>
      </c>
      <c r="J10">
        <v>6.21</v>
      </c>
      <c r="K10">
        <v>27.13</v>
      </c>
      <c r="L10">
        <f>POWER(10,(J10-$B$3)/($E$3-$B$3)*4)*$B$2</f>
        <v>4.921429209236623E-4</v>
      </c>
      <c r="M10">
        <f>$F$2+(K10-$F$3)*$C$5</f>
        <v>1.2010582010582012</v>
      </c>
    </row>
    <row r="11" spans="2:13" x14ac:dyDescent="0.25">
      <c r="B11">
        <v>7.29</v>
      </c>
      <c r="C11">
        <v>19.920000000000002</v>
      </c>
      <c r="D11">
        <f t="shared" ref="D11:D22" si="0">POWER(10,(B11-$B$3)/($E$3-$B$3)*4)*$B$2</f>
        <v>1.1575623183947129E-3</v>
      </c>
      <c r="E11">
        <f t="shared" ref="E11:E22" si="1">$F$2+(C11-$F$3)*$C$5</f>
        <v>2.4726631393298057</v>
      </c>
      <c r="F11">
        <v>7.48</v>
      </c>
      <c r="G11">
        <v>21.48</v>
      </c>
      <c r="H11">
        <f t="shared" ref="H11:H24" si="2">POWER(10,(F11-$B$3)/($E$3-$B$3)*4)*$B$2</f>
        <v>1.345527623708449E-3</v>
      </c>
      <c r="I11">
        <f t="shared" ref="I11:I24" si="3">$F$2+(G11-$F$3)*$C$5</f>
        <v>2.1975308641975309</v>
      </c>
      <c r="J11">
        <v>10.34</v>
      </c>
      <c r="K11">
        <v>27.13</v>
      </c>
      <c r="L11">
        <f t="shared" ref="L11:L17" si="4">POWER(10,(J11-$B$3)/($E$3-$B$3)*4)*$B$2</f>
        <v>1.295852464254485E-2</v>
      </c>
      <c r="M11">
        <f t="shared" ref="M11:M17" si="5">$F$2+(K11-$F$3)*$C$5</f>
        <v>1.2010582010582012</v>
      </c>
    </row>
    <row r="12" spans="2:13" x14ac:dyDescent="0.25">
      <c r="B12">
        <v>8.7200000000000006</v>
      </c>
      <c r="C12">
        <v>20.239999999999998</v>
      </c>
      <c r="D12">
        <f t="shared" si="0"/>
        <v>3.5923269074732175E-3</v>
      </c>
      <c r="E12">
        <f t="shared" si="1"/>
        <v>2.4162257495590831</v>
      </c>
      <c r="F12">
        <v>9.14</v>
      </c>
      <c r="G12">
        <v>21.48</v>
      </c>
      <c r="H12">
        <f t="shared" si="2"/>
        <v>5.0099091401717153E-3</v>
      </c>
      <c r="I12">
        <f t="shared" si="3"/>
        <v>2.1975308641975309</v>
      </c>
      <c r="J12">
        <v>12.98</v>
      </c>
      <c r="K12">
        <v>26.85</v>
      </c>
      <c r="L12">
        <f t="shared" si="4"/>
        <v>0.10484606114861872</v>
      </c>
      <c r="M12">
        <f t="shared" si="5"/>
        <v>1.2504409171075834</v>
      </c>
    </row>
    <row r="13" spans="2:13" x14ac:dyDescent="0.25">
      <c r="B13">
        <v>10.3</v>
      </c>
      <c r="C13">
        <v>20.98</v>
      </c>
      <c r="D13">
        <f t="shared" si="0"/>
        <v>1.2554459941484396E-2</v>
      </c>
      <c r="E13">
        <f t="shared" si="1"/>
        <v>2.2857142857142856</v>
      </c>
      <c r="F13">
        <v>10.16</v>
      </c>
      <c r="G13">
        <v>21.98</v>
      </c>
      <c r="H13">
        <f t="shared" si="2"/>
        <v>1.1236904826653323E-2</v>
      </c>
      <c r="I13">
        <f t="shared" si="3"/>
        <v>2.1093474426807761</v>
      </c>
      <c r="J13">
        <v>15.03</v>
      </c>
      <c r="K13">
        <v>25.96</v>
      </c>
      <c r="L13">
        <f t="shared" si="4"/>
        <v>0.53164925103728866</v>
      </c>
      <c r="M13">
        <f t="shared" si="5"/>
        <v>1.4074074074074072</v>
      </c>
    </row>
    <row r="14" spans="2:13" x14ac:dyDescent="0.25">
      <c r="B14">
        <v>11.52</v>
      </c>
      <c r="C14">
        <v>22.09</v>
      </c>
      <c r="D14">
        <f t="shared" si="0"/>
        <v>3.2991533785558011E-2</v>
      </c>
      <c r="E14">
        <f t="shared" si="1"/>
        <v>2.0899470899470902</v>
      </c>
      <c r="F14">
        <v>11.08</v>
      </c>
      <c r="G14">
        <v>22.37</v>
      </c>
      <c r="H14">
        <f t="shared" si="2"/>
        <v>2.328465172115329E-2</v>
      </c>
      <c r="I14">
        <f t="shared" si="3"/>
        <v>2.0405643738977073</v>
      </c>
      <c r="J14">
        <v>16.37</v>
      </c>
      <c r="K14">
        <v>24.09</v>
      </c>
      <c r="L14">
        <f t="shared" si="4"/>
        <v>1.5363927478867607</v>
      </c>
      <c r="M14">
        <f t="shared" si="5"/>
        <v>1.7372134038800706</v>
      </c>
    </row>
    <row r="15" spans="2:13" x14ac:dyDescent="0.25">
      <c r="B15">
        <v>12.2</v>
      </c>
      <c r="C15">
        <v>22.83</v>
      </c>
      <c r="D15">
        <f t="shared" si="0"/>
        <v>5.6530185225701961E-2</v>
      </c>
      <c r="E15">
        <f t="shared" si="1"/>
        <v>1.9594356261022932</v>
      </c>
      <c r="F15">
        <v>11.85</v>
      </c>
      <c r="G15">
        <v>22.9</v>
      </c>
      <c r="H15">
        <f t="shared" si="2"/>
        <v>4.2845190343574882E-2</v>
      </c>
      <c r="I15">
        <f t="shared" si="3"/>
        <v>1.9470899470899474</v>
      </c>
      <c r="J15">
        <v>17.11</v>
      </c>
      <c r="K15">
        <v>21.94</v>
      </c>
      <c r="L15">
        <f t="shared" si="4"/>
        <v>2.7606823329251586</v>
      </c>
      <c r="M15">
        <f t="shared" si="5"/>
        <v>2.1164021164021163</v>
      </c>
    </row>
    <row r="16" spans="2:13" x14ac:dyDescent="0.25">
      <c r="B16">
        <v>13.05</v>
      </c>
      <c r="C16">
        <v>23.83</v>
      </c>
      <c r="D16">
        <f t="shared" si="0"/>
        <v>0.11082245991844686</v>
      </c>
      <c r="E16">
        <f t="shared" si="1"/>
        <v>1.7830687830687832</v>
      </c>
      <c r="F16">
        <v>12.56</v>
      </c>
      <c r="G16">
        <v>23.46</v>
      </c>
      <c r="H16">
        <f t="shared" si="2"/>
        <v>7.5179272930657556E-2</v>
      </c>
      <c r="I16">
        <f t="shared" si="3"/>
        <v>1.8483245149911816</v>
      </c>
      <c r="J16">
        <v>17.5</v>
      </c>
      <c r="K16">
        <v>20.28</v>
      </c>
      <c r="L16">
        <f t="shared" si="4"/>
        <v>3.7596922011897709</v>
      </c>
      <c r="M16">
        <f t="shared" si="5"/>
        <v>2.4091710758377425</v>
      </c>
    </row>
    <row r="17" spans="2:13" x14ac:dyDescent="0.25">
      <c r="B17">
        <v>14.32</v>
      </c>
      <c r="C17">
        <v>24.99</v>
      </c>
      <c r="D17">
        <f t="shared" si="0"/>
        <v>0.30299060457423937</v>
      </c>
      <c r="E17">
        <f t="shared" si="1"/>
        <v>1.5784832451499122</v>
      </c>
      <c r="F17">
        <v>13.12</v>
      </c>
      <c r="G17">
        <v>24.06</v>
      </c>
      <c r="H17">
        <f t="shared" si="2"/>
        <v>0.11713952329564974</v>
      </c>
      <c r="I17">
        <f t="shared" si="3"/>
        <v>1.742504409171076</v>
      </c>
      <c r="J17">
        <v>17.850000000000001</v>
      </c>
      <c r="K17">
        <v>18.2</v>
      </c>
      <c r="L17">
        <f t="shared" si="4"/>
        <v>4.9605590457309576</v>
      </c>
      <c r="M17">
        <f t="shared" si="5"/>
        <v>2.7760141093474431</v>
      </c>
    </row>
    <row r="18" spans="2:13" x14ac:dyDescent="0.25">
      <c r="B18">
        <v>15.16</v>
      </c>
      <c r="C18">
        <v>25.15</v>
      </c>
      <c r="D18">
        <f t="shared" si="0"/>
        <v>0.58930097311554064</v>
      </c>
      <c r="E18">
        <f t="shared" si="1"/>
        <v>1.5502645502645505</v>
      </c>
      <c r="F18">
        <v>13.65</v>
      </c>
      <c r="G18">
        <v>24.55</v>
      </c>
      <c r="H18">
        <f t="shared" si="2"/>
        <v>0.17823403562352408</v>
      </c>
      <c r="I18">
        <f t="shared" si="3"/>
        <v>1.6560846560846558</v>
      </c>
    </row>
    <row r="19" spans="2:13" x14ac:dyDescent="0.25">
      <c r="B19">
        <v>16.170000000000002</v>
      </c>
      <c r="C19">
        <v>24.47</v>
      </c>
      <c r="D19">
        <f t="shared" si="0"/>
        <v>1.3113379514182093</v>
      </c>
      <c r="E19">
        <f t="shared" si="1"/>
        <v>1.670194003527337</v>
      </c>
      <c r="F19">
        <v>14.11</v>
      </c>
      <c r="G19">
        <v>24.91</v>
      </c>
      <c r="H19">
        <f t="shared" si="2"/>
        <v>0.25656780726680473</v>
      </c>
      <c r="I19">
        <f t="shared" si="3"/>
        <v>1.5925925925925926</v>
      </c>
    </row>
    <row r="20" spans="2:13" x14ac:dyDescent="0.25">
      <c r="B20">
        <v>16.8</v>
      </c>
      <c r="C20">
        <v>22.99</v>
      </c>
      <c r="D20">
        <f t="shared" si="0"/>
        <v>2.1597109376080574</v>
      </c>
      <c r="E20">
        <f t="shared" si="1"/>
        <v>1.9312169312169316</v>
      </c>
      <c r="F20">
        <v>14.99</v>
      </c>
      <c r="G20">
        <v>25.22</v>
      </c>
      <c r="H20">
        <f t="shared" si="2"/>
        <v>0.51507169289582355</v>
      </c>
      <c r="I20">
        <f t="shared" si="3"/>
        <v>1.5379188712522047</v>
      </c>
    </row>
    <row r="21" spans="2:13" x14ac:dyDescent="0.25">
      <c r="B21">
        <v>17.489999999999998</v>
      </c>
      <c r="C21">
        <v>20.34</v>
      </c>
      <c r="D21">
        <f t="shared" si="0"/>
        <v>3.7300350315551936</v>
      </c>
      <c r="E21">
        <f t="shared" si="1"/>
        <v>2.3985890652557318</v>
      </c>
      <c r="F21">
        <v>16.09</v>
      </c>
      <c r="G21">
        <v>24.59</v>
      </c>
      <c r="H21">
        <f t="shared" si="2"/>
        <v>1.2308342792070741</v>
      </c>
      <c r="I21">
        <f t="shared" si="3"/>
        <v>1.6490299823633157</v>
      </c>
    </row>
    <row r="22" spans="2:13" x14ac:dyDescent="0.25">
      <c r="B22">
        <v>17.86</v>
      </c>
      <c r="C22">
        <v>18.12</v>
      </c>
      <c r="D22">
        <f t="shared" si="0"/>
        <v>5</v>
      </c>
      <c r="E22">
        <f t="shared" si="1"/>
        <v>2.7901234567901234</v>
      </c>
      <c r="F22">
        <v>16.899999999999999</v>
      </c>
      <c r="G22">
        <v>22.68</v>
      </c>
      <c r="H22">
        <f t="shared" si="2"/>
        <v>2.3377035526039402</v>
      </c>
      <c r="I22">
        <f t="shared" si="3"/>
        <v>1.9858906525573192</v>
      </c>
    </row>
    <row r="23" spans="2:13" x14ac:dyDescent="0.25">
      <c r="F23">
        <v>17.43</v>
      </c>
      <c r="G23">
        <v>20.57</v>
      </c>
      <c r="H23">
        <f t="shared" si="2"/>
        <v>3.5569407024172444</v>
      </c>
      <c r="I23">
        <f t="shared" si="3"/>
        <v>2.3580246913580245</v>
      </c>
    </row>
    <row r="24" spans="2:13" x14ac:dyDescent="0.25">
      <c r="F24">
        <v>17.89</v>
      </c>
      <c r="G24">
        <v>18.2</v>
      </c>
      <c r="H24">
        <f t="shared" si="2"/>
        <v>5.1202144046431251</v>
      </c>
      <c r="I24">
        <f t="shared" si="3"/>
        <v>2.7760141093474431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46"/>
  <sheetViews>
    <sheetView workbookViewId="0">
      <selection activeCell="D3" sqref="D3"/>
    </sheetView>
  </sheetViews>
  <sheetFormatPr defaultRowHeight="13.2" x14ac:dyDescent="0.25"/>
  <cols>
    <col min="1" max="1" width="19.5546875" customWidth="1"/>
    <col min="2" max="2" width="3.109375" customWidth="1"/>
    <col min="3" max="3" width="9.33203125" customWidth="1"/>
  </cols>
  <sheetData>
    <row r="2" spans="1:22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</row>
    <row r="3" spans="1:22" x14ac:dyDescent="0.25">
      <c r="A3" s="2" t="s">
        <v>5</v>
      </c>
      <c r="C3">
        <f t="shared" ref="C3:V3" si="0">(-6/1600)*(C2:V2)*(C2:V2)*400/19/19+3/2</f>
        <v>1.5</v>
      </c>
      <c r="D3">
        <f t="shared" si="0"/>
        <v>1.4958448753462603</v>
      </c>
      <c r="E3">
        <f t="shared" si="0"/>
        <v>1.4833795013850415</v>
      </c>
      <c r="F3">
        <f t="shared" si="0"/>
        <v>1.4626038781163435</v>
      </c>
      <c r="G3">
        <f t="shared" si="0"/>
        <v>1.4335180055401662</v>
      </c>
      <c r="H3">
        <f t="shared" si="0"/>
        <v>1.3961218836565097</v>
      </c>
      <c r="I3">
        <f t="shared" si="0"/>
        <v>1.3504155124653741</v>
      </c>
      <c r="J3">
        <f t="shared" si="0"/>
        <v>1.2963988919667591</v>
      </c>
      <c r="K3">
        <f t="shared" si="0"/>
        <v>1.2340720221606649</v>
      </c>
      <c r="L3">
        <f t="shared" si="0"/>
        <v>1.1634349030470914</v>
      </c>
      <c r="M3">
        <f t="shared" si="0"/>
        <v>1.0844875346260388</v>
      </c>
      <c r="N3">
        <f t="shared" si="0"/>
        <v>0.99722991689750706</v>
      </c>
      <c r="O3">
        <f t="shared" si="0"/>
        <v>0.9016620498614959</v>
      </c>
      <c r="P3">
        <f t="shared" si="0"/>
        <v>0.79778393351800547</v>
      </c>
      <c r="Q3">
        <f t="shared" si="0"/>
        <v>0.68559556786703602</v>
      </c>
      <c r="R3">
        <f t="shared" si="0"/>
        <v>0.56509695290858741</v>
      </c>
      <c r="S3">
        <f t="shared" si="0"/>
        <v>0.43628808864265944</v>
      </c>
      <c r="T3">
        <f t="shared" si="0"/>
        <v>0.29916897506925211</v>
      </c>
      <c r="U3">
        <f t="shared" si="0"/>
        <v>0.15373961218836563</v>
      </c>
      <c r="V3">
        <f t="shared" si="0"/>
        <v>0</v>
      </c>
    </row>
    <row r="4" spans="1:22" x14ac:dyDescent="0.25">
      <c r="B4" s="3"/>
      <c r="C4">
        <v>1.5</v>
      </c>
      <c r="D4">
        <v>1.4958448753462603</v>
      </c>
      <c r="E4">
        <v>1.4833795013850415</v>
      </c>
      <c r="F4">
        <v>1.4626038781163435</v>
      </c>
      <c r="G4">
        <v>1.4335180055401662</v>
      </c>
      <c r="H4">
        <v>1.3961218836565097</v>
      </c>
      <c r="I4">
        <v>1.3504155124653741</v>
      </c>
      <c r="J4">
        <v>1.2963988919667591</v>
      </c>
      <c r="K4">
        <v>1.2340720221606649</v>
      </c>
      <c r="L4">
        <v>1.1634349030470914</v>
      </c>
      <c r="M4">
        <v>1.0844875346260388</v>
      </c>
      <c r="N4">
        <v>0.99722991689750706</v>
      </c>
      <c r="O4">
        <v>0.9016620498614959</v>
      </c>
      <c r="P4">
        <v>0.79778393351800547</v>
      </c>
      <c r="Q4">
        <v>0.68559556786703602</v>
      </c>
      <c r="R4">
        <v>0.56509695290858741</v>
      </c>
      <c r="S4">
        <v>0.43628808864265944</v>
      </c>
      <c r="T4">
        <v>0.29916897506925211</v>
      </c>
      <c r="U4">
        <v>0.15373961218836563</v>
      </c>
      <c r="V4">
        <v>0</v>
      </c>
    </row>
    <row r="6" spans="1:22" x14ac:dyDescent="0.25">
      <c r="A6" s="2" t="s">
        <v>6</v>
      </c>
      <c r="B6" s="3"/>
      <c r="C6">
        <v>1.4559666774198019</v>
      </c>
      <c r="D6">
        <v>1.44</v>
      </c>
      <c r="E6">
        <v>1.4266745945748009</v>
      </c>
      <c r="F6">
        <v>1.417430948099605</v>
      </c>
      <c r="G6">
        <v>1.3740000000000001</v>
      </c>
      <c r="H6">
        <v>1.357</v>
      </c>
      <c r="I6">
        <v>1.3033133020697634</v>
      </c>
      <c r="J6">
        <v>1.2734186038924002</v>
      </c>
      <c r="K6">
        <v>1.2201042347524509</v>
      </c>
      <c r="L6">
        <v>1.192338844069057</v>
      </c>
      <c r="M6">
        <v>1.1413657029770894</v>
      </c>
      <c r="N6">
        <v>1.0669999999999999</v>
      </c>
      <c r="O6">
        <v>0.96399999999999997</v>
      </c>
      <c r="P6">
        <v>0.85890668494920708</v>
      </c>
      <c r="Q6">
        <v>0.76222520294677498</v>
      </c>
      <c r="R6">
        <v>0.62287825273486419</v>
      </c>
      <c r="S6">
        <v>0.495</v>
      </c>
      <c r="T6">
        <v>0.38</v>
      </c>
      <c r="U6">
        <v>0.18691101003710581</v>
      </c>
      <c r="V6">
        <v>0.04</v>
      </c>
    </row>
    <row r="7" spans="1:22" x14ac:dyDescent="0.25">
      <c r="A7" t="s">
        <v>1</v>
      </c>
      <c r="C7">
        <v>1.4594017094017093</v>
      </c>
      <c r="D7">
        <v>1.4550000000000001</v>
      </c>
      <c r="E7">
        <v>1.446</v>
      </c>
      <c r="F7">
        <v>1.4166666666666667</v>
      </c>
      <c r="G7">
        <v>1.3974358974358976</v>
      </c>
      <c r="H7">
        <v>1.3760683760683763</v>
      </c>
      <c r="I7">
        <v>1.3611111111111112</v>
      </c>
      <c r="J7">
        <v>1.3129981562897317</v>
      </c>
      <c r="K7">
        <v>1.2588405117120987</v>
      </c>
      <c r="L7">
        <v>1.1819829148155798</v>
      </c>
      <c r="M7">
        <v>1.0833333333333335</v>
      </c>
      <c r="N7">
        <v>1.0070000000000001</v>
      </c>
      <c r="O7">
        <v>0.8883681856612291</v>
      </c>
      <c r="P7">
        <v>0.80285930374953285</v>
      </c>
      <c r="Q7">
        <v>0.72725811798790729</v>
      </c>
      <c r="R7">
        <v>0.61632853186046488</v>
      </c>
      <c r="S7">
        <v>0.50673152667195975</v>
      </c>
      <c r="T7">
        <v>0.3956466618523462</v>
      </c>
      <c r="U7">
        <v>0.218</v>
      </c>
      <c r="V7">
        <v>0.10544294467137071</v>
      </c>
    </row>
    <row r="8" spans="1:22" x14ac:dyDescent="0.25">
      <c r="A8" s="2" t="s">
        <v>0</v>
      </c>
      <c r="B8" s="3"/>
      <c r="C8">
        <v>1.36</v>
      </c>
      <c r="D8">
        <v>1.3617375564062446</v>
      </c>
      <c r="E8">
        <v>1.3700281481264409</v>
      </c>
      <c r="F8">
        <v>1.353</v>
      </c>
      <c r="G8">
        <v>1.335</v>
      </c>
      <c r="H8">
        <v>1.3149078482428791</v>
      </c>
      <c r="I8">
        <v>1.2818129602460926</v>
      </c>
      <c r="J8">
        <v>1.2275220203565231</v>
      </c>
      <c r="K8">
        <v>1.2017584744872185</v>
      </c>
      <c r="L8">
        <v>1.1241367065019998</v>
      </c>
      <c r="M8">
        <v>1.063309016691826</v>
      </c>
      <c r="N8">
        <v>1.0110000000000001</v>
      </c>
      <c r="O8">
        <v>0.96399999999999997</v>
      </c>
      <c r="P8">
        <v>0.90958005018214239</v>
      </c>
      <c r="Q8">
        <v>0.79024565258739243</v>
      </c>
      <c r="R8">
        <v>0.70160450996936163</v>
      </c>
      <c r="S8">
        <v>0.57597211905119017</v>
      </c>
      <c r="T8">
        <v>0.49552832047871148</v>
      </c>
      <c r="U8">
        <v>0.36299999999999999</v>
      </c>
      <c r="V8">
        <v>0.13422434104309303</v>
      </c>
    </row>
    <row r="9" spans="1:22" x14ac:dyDescent="0.25">
      <c r="A9" s="2" t="s">
        <v>2</v>
      </c>
      <c r="B9" s="3"/>
      <c r="C9">
        <v>1.1520000000000001</v>
      </c>
      <c r="D9">
        <v>1.1480000000000001</v>
      </c>
      <c r="E9">
        <v>1.1592493757365638</v>
      </c>
      <c r="F9">
        <v>1.139</v>
      </c>
      <c r="G9">
        <v>1.1235376683551788</v>
      </c>
      <c r="H9">
        <v>1.109</v>
      </c>
      <c r="I9">
        <v>1.1260000000000001</v>
      </c>
      <c r="J9">
        <v>1.097</v>
      </c>
      <c r="K9">
        <v>1.0997721253567407</v>
      </c>
      <c r="L9">
        <v>1.086445527916154</v>
      </c>
      <c r="M9">
        <v>1.0840000000000001</v>
      </c>
      <c r="N9">
        <v>1.0620000000000001</v>
      </c>
      <c r="O9">
        <v>1.0618684352157748</v>
      </c>
      <c r="P9">
        <v>1.0369561428206457</v>
      </c>
      <c r="Q9">
        <v>0.99</v>
      </c>
      <c r="R9">
        <v>0.97144250855623937</v>
      </c>
      <c r="S9">
        <v>0.875</v>
      </c>
      <c r="T9">
        <v>0.83200000000000007</v>
      </c>
      <c r="U9">
        <v>0.72</v>
      </c>
      <c r="V9">
        <v>0.44163811068234382</v>
      </c>
    </row>
    <row r="10" spans="1:22" x14ac:dyDescent="0.25">
      <c r="A10" s="2" t="s">
        <v>3</v>
      </c>
      <c r="B10" s="3"/>
      <c r="C10">
        <v>1.0620000000000001</v>
      </c>
      <c r="D10">
        <v>1.0529967161726714</v>
      </c>
      <c r="E10">
        <v>1.0669999999999999</v>
      </c>
      <c r="F10">
        <v>1.054</v>
      </c>
      <c r="G10">
        <v>1.0669999999999999</v>
      </c>
      <c r="H10">
        <v>1.05</v>
      </c>
      <c r="I10">
        <v>1.0570525730052578</v>
      </c>
      <c r="J10">
        <v>1.0449999999999999</v>
      </c>
      <c r="K10">
        <v>1.0433447699948251</v>
      </c>
      <c r="L10">
        <v>1.0329999999999999</v>
      </c>
      <c r="M10">
        <v>1.05</v>
      </c>
      <c r="N10">
        <v>1.024</v>
      </c>
      <c r="O10">
        <v>1.0149999999999999</v>
      </c>
      <c r="P10">
        <v>1.0149999999999999</v>
      </c>
      <c r="Q10">
        <v>1.0120144650410219</v>
      </c>
      <c r="R10">
        <v>1.0171182925444358</v>
      </c>
      <c r="S10">
        <v>1.0030000000000001</v>
      </c>
      <c r="T10">
        <v>0.98599999999999999</v>
      </c>
      <c r="U10">
        <v>0.91300000000000003</v>
      </c>
      <c r="V10">
        <v>0.55737850457982463</v>
      </c>
    </row>
    <row r="11" spans="1:22" x14ac:dyDescent="0.25">
      <c r="A11" s="4" t="s">
        <v>4</v>
      </c>
      <c r="B11" s="1"/>
      <c r="C11">
        <v>1.0369999999999999</v>
      </c>
      <c r="D11">
        <v>1.028</v>
      </c>
      <c r="E11">
        <v>1.0407041739119545</v>
      </c>
      <c r="F11">
        <v>1.0338783108580092</v>
      </c>
      <c r="G11">
        <v>1.028</v>
      </c>
      <c r="H11">
        <v>1.0600345404489748</v>
      </c>
      <c r="I11">
        <v>1.0393462875770798</v>
      </c>
      <c r="J11">
        <v>1.0580000000000001</v>
      </c>
      <c r="K11">
        <v>1.05</v>
      </c>
      <c r="L11">
        <v>1.0449999999999999</v>
      </c>
      <c r="M11">
        <v>1.040877181580748</v>
      </c>
      <c r="N11">
        <v>1.0057114801371467</v>
      </c>
      <c r="O11">
        <v>0.99</v>
      </c>
      <c r="P11">
        <v>1.0070000000000001</v>
      </c>
      <c r="Q11">
        <v>1</v>
      </c>
      <c r="R11">
        <v>0.98599999999999999</v>
      </c>
      <c r="S11">
        <v>0.98099999999999998</v>
      </c>
      <c r="T11">
        <v>0.98599999999999999</v>
      </c>
      <c r="U11">
        <v>0.96399999999999997</v>
      </c>
      <c r="V11">
        <v>0.60117163071341151</v>
      </c>
    </row>
    <row r="12" spans="1:22" x14ac:dyDescent="0.25">
      <c r="C12">
        <v>1.2629999999999999</v>
      </c>
      <c r="D12">
        <v>1.2609999999999999</v>
      </c>
      <c r="E12">
        <v>1.2549999999999999</v>
      </c>
      <c r="F12">
        <v>1.2450000000000001</v>
      </c>
      <c r="G12">
        <v>1.2310000000000001</v>
      </c>
      <c r="H12">
        <v>1.2130000000000001</v>
      </c>
      <c r="I12">
        <v>1.1919999999999999</v>
      </c>
      <c r="J12">
        <v>1.1659999999999999</v>
      </c>
      <c r="K12">
        <v>1.1359999999999999</v>
      </c>
      <c r="L12">
        <v>1.103</v>
      </c>
      <c r="M12">
        <v>1.0649999999999999</v>
      </c>
      <c r="N12">
        <v>1.024</v>
      </c>
      <c r="O12">
        <v>0.97799999999999998</v>
      </c>
      <c r="P12">
        <v>0.92900000000000005</v>
      </c>
      <c r="Q12">
        <v>0.876</v>
      </c>
      <c r="R12">
        <v>0.81899999999999995</v>
      </c>
      <c r="S12">
        <v>0.75700000000000001</v>
      </c>
      <c r="T12">
        <v>0.69199999999999995</v>
      </c>
      <c r="U12">
        <v>0.623</v>
      </c>
      <c r="V12">
        <v>0.55000000000000004</v>
      </c>
    </row>
    <row r="13" spans="1:22" ht="13.8" thickBot="1" x14ac:dyDescent="0.3">
      <c r="C13" s="5">
        <v>1.2245691845278466</v>
      </c>
      <c r="D13">
        <v>1.212</v>
      </c>
      <c r="E13" s="6">
        <v>1.2230000000000001</v>
      </c>
      <c r="F13">
        <v>1.2290000000000001</v>
      </c>
      <c r="G13" s="6">
        <v>1.2169158354273968</v>
      </c>
      <c r="H13">
        <v>1.1950000000000001</v>
      </c>
      <c r="I13" s="6">
        <v>1.1819999999999999</v>
      </c>
      <c r="J13">
        <v>1.1380000000000001</v>
      </c>
      <c r="K13" s="6">
        <v>1.1136972870329953</v>
      </c>
      <c r="L13">
        <v>1.087</v>
      </c>
      <c r="M13" s="6">
        <v>1.0688916024846509</v>
      </c>
      <c r="N13">
        <v>1.03</v>
      </c>
      <c r="O13" s="6">
        <v>1.0035458700790205</v>
      </c>
      <c r="P13">
        <v>0.95600000000000007</v>
      </c>
      <c r="Q13" s="6">
        <v>0.91567813240042584</v>
      </c>
      <c r="R13">
        <v>0.84</v>
      </c>
      <c r="S13" s="6">
        <v>0.745</v>
      </c>
      <c r="T13">
        <v>0.58799999999999997</v>
      </c>
      <c r="U13" s="7">
        <v>0.36</v>
      </c>
      <c r="V13">
        <v>0.16400000000000001</v>
      </c>
    </row>
    <row r="44" spans="3:22" x14ac:dyDescent="0.25">
      <c r="C44">
        <v>0.05</v>
      </c>
      <c r="D44">
        <v>0.1</v>
      </c>
      <c r="E44">
        <v>0.15</v>
      </c>
      <c r="F44">
        <v>0.2</v>
      </c>
      <c r="G44">
        <v>0.25</v>
      </c>
      <c r="H44">
        <v>0.3</v>
      </c>
      <c r="I44">
        <v>0.35</v>
      </c>
      <c r="J44">
        <v>0.4</v>
      </c>
      <c r="K44">
        <v>0.45</v>
      </c>
      <c r="L44">
        <v>0.5</v>
      </c>
      <c r="M44">
        <v>0.55000000000000004</v>
      </c>
      <c r="N44">
        <v>0.6</v>
      </c>
      <c r="O44">
        <v>0.65</v>
      </c>
      <c r="P44">
        <v>0.7</v>
      </c>
      <c r="Q44">
        <v>0.75</v>
      </c>
      <c r="R44">
        <v>0.8</v>
      </c>
      <c r="S44">
        <v>0.85</v>
      </c>
      <c r="T44">
        <v>0.9</v>
      </c>
      <c r="U44">
        <v>0.95</v>
      </c>
      <c r="V44">
        <v>1</v>
      </c>
    </row>
    <row r="45" spans="3:22" x14ac:dyDescent="0.25">
      <c r="C45">
        <f t="shared" ref="C45:V45" si="1">(C44*C44-1-4*0.3)/(-2/3-4*0.3)</f>
        <v>1.1772321428571426</v>
      </c>
      <c r="D45">
        <f t="shared" si="1"/>
        <v>1.1732142857142858</v>
      </c>
      <c r="E45">
        <f t="shared" si="1"/>
        <v>1.1665178571428572</v>
      </c>
      <c r="F45">
        <f t="shared" si="1"/>
        <v>1.1571428571428573</v>
      </c>
      <c r="G45">
        <f t="shared" si="1"/>
        <v>1.1450892857142858</v>
      </c>
      <c r="H45">
        <f t="shared" si="1"/>
        <v>1.1303571428571428</v>
      </c>
      <c r="I45">
        <f t="shared" si="1"/>
        <v>1.1129464285714286</v>
      </c>
      <c r="J45">
        <f t="shared" si="1"/>
        <v>1.0928571428571427</v>
      </c>
      <c r="K45">
        <f t="shared" si="1"/>
        <v>1.0700892857142856</v>
      </c>
      <c r="L45">
        <f t="shared" si="1"/>
        <v>1.0446428571428572</v>
      </c>
      <c r="M45">
        <f t="shared" si="1"/>
        <v>1.016517857142857</v>
      </c>
      <c r="N45">
        <f t="shared" si="1"/>
        <v>0.98571428571428565</v>
      </c>
      <c r="O45">
        <f t="shared" si="1"/>
        <v>0.95223214285714275</v>
      </c>
      <c r="P45">
        <f t="shared" si="1"/>
        <v>0.91607142857142854</v>
      </c>
      <c r="Q45">
        <f t="shared" si="1"/>
        <v>0.87723214285714279</v>
      </c>
      <c r="R45">
        <f t="shared" si="1"/>
        <v>0.83571428571428563</v>
      </c>
      <c r="S45">
        <f t="shared" si="1"/>
        <v>0.79151785714285716</v>
      </c>
      <c r="T45">
        <f t="shared" si="1"/>
        <v>0.74464285714285705</v>
      </c>
      <c r="U45">
        <f t="shared" si="1"/>
        <v>0.69508928571428563</v>
      </c>
      <c r="V45">
        <f t="shared" si="1"/>
        <v>0.64285714285714279</v>
      </c>
    </row>
    <row r="46" spans="3:22" x14ac:dyDescent="0.25">
      <c r="C46">
        <f t="shared" ref="C46:V46" si="2">(C44*C44-1-4*0.12)/(-2/3-4*0.12)</f>
        <v>1.2885174418604652</v>
      </c>
      <c r="D46">
        <f t="shared" si="2"/>
        <v>1.2819767441860466</v>
      </c>
      <c r="E46">
        <f t="shared" si="2"/>
        <v>1.2710755813953489</v>
      </c>
      <c r="F46">
        <f t="shared" si="2"/>
        <v>1.2558139534883723</v>
      </c>
      <c r="G46">
        <f t="shared" si="2"/>
        <v>1.2361918604651165</v>
      </c>
      <c r="H46">
        <f t="shared" si="2"/>
        <v>1.2122093023255818</v>
      </c>
      <c r="I46">
        <f t="shared" si="2"/>
        <v>1.1838662790697676</v>
      </c>
      <c r="J46">
        <f t="shared" si="2"/>
        <v>1.1511627906976745</v>
      </c>
      <c r="K46">
        <f t="shared" si="2"/>
        <v>1.1140988372093024</v>
      </c>
      <c r="L46">
        <f t="shared" si="2"/>
        <v>1.0726744186046513</v>
      </c>
      <c r="M46">
        <f t="shared" si="2"/>
        <v>1.026889534883721</v>
      </c>
      <c r="N46">
        <f t="shared" si="2"/>
        <v>0.97674418604651181</v>
      </c>
      <c r="O46">
        <f t="shared" si="2"/>
        <v>0.92223837209302328</v>
      </c>
      <c r="P46">
        <f t="shared" si="2"/>
        <v>0.8633720930232559</v>
      </c>
      <c r="Q46">
        <f t="shared" si="2"/>
        <v>0.80014534883720945</v>
      </c>
      <c r="R46">
        <f t="shared" si="2"/>
        <v>0.73255813953488369</v>
      </c>
      <c r="S46">
        <f t="shared" si="2"/>
        <v>0.66061046511627919</v>
      </c>
      <c r="T46">
        <f t="shared" si="2"/>
        <v>0.58430232558139539</v>
      </c>
      <c r="U46">
        <f t="shared" si="2"/>
        <v>0.50363372093023262</v>
      </c>
      <c r="V46">
        <f t="shared" si="2"/>
        <v>0.41860465116279072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37"/>
  <sheetViews>
    <sheetView topLeftCell="A23" workbookViewId="0">
      <selection activeCell="H50" sqref="H50"/>
    </sheetView>
  </sheetViews>
  <sheetFormatPr defaultRowHeight="13.2" x14ac:dyDescent="0.25"/>
  <cols>
    <col min="2" max="2" width="18.109375" customWidth="1"/>
    <col min="3" max="3" width="9.109375" customWidth="1"/>
    <col min="5" max="5" width="11" bestFit="1" customWidth="1"/>
  </cols>
  <sheetData>
    <row r="1" spans="2:7" x14ac:dyDescent="0.25">
      <c r="B1" t="s">
        <v>18</v>
      </c>
      <c r="C1">
        <f>0.032/6.022/1000</f>
        <v>5.3138492195283959E-6</v>
      </c>
      <c r="D1" t="s">
        <v>21</v>
      </c>
    </row>
    <row r="2" spans="2:7" x14ac:dyDescent="0.25">
      <c r="B2" t="s">
        <v>19</v>
      </c>
      <c r="C2">
        <v>3.64</v>
      </c>
      <c r="D2" t="s">
        <v>20</v>
      </c>
    </row>
    <row r="3" spans="2:7" x14ac:dyDescent="0.25">
      <c r="B3" t="s">
        <v>22</v>
      </c>
      <c r="C3">
        <f>1.38/C1/1000</f>
        <v>259.69874999999996</v>
      </c>
    </row>
    <row r="4" spans="2:7" x14ac:dyDescent="0.25">
      <c r="B4" t="s">
        <v>17</v>
      </c>
      <c r="C4">
        <f>5/16*C1/C2/C2*SQRT(C3*C5/PI())</f>
        <v>1.9736816446243676E-5</v>
      </c>
      <c r="E4">
        <f>2052*10^(-8)</f>
        <v>2.052E-5</v>
      </c>
    </row>
    <row r="5" spans="2:7" x14ac:dyDescent="0.25">
      <c r="B5" t="s">
        <v>23</v>
      </c>
      <c r="C5">
        <v>300</v>
      </c>
    </row>
    <row r="6" spans="2:7" x14ac:dyDescent="0.25">
      <c r="B6" t="s">
        <v>25</v>
      </c>
      <c r="C6">
        <v>2000</v>
      </c>
    </row>
    <row r="7" spans="2:7" x14ac:dyDescent="0.25">
      <c r="B7" t="s">
        <v>47</v>
      </c>
      <c r="C7">
        <v>94474</v>
      </c>
      <c r="D7" t="s">
        <v>43</v>
      </c>
    </row>
    <row r="8" spans="2:7" x14ac:dyDescent="0.25">
      <c r="B8" t="s">
        <v>27</v>
      </c>
      <c r="C8">
        <v>5.740450000000008E-2</v>
      </c>
      <c r="D8" t="s">
        <v>51</v>
      </c>
    </row>
    <row r="9" spans="2:7" x14ac:dyDescent="0.25">
      <c r="B9" t="s">
        <v>28</v>
      </c>
      <c r="C9">
        <v>9000</v>
      </c>
      <c r="D9" t="s">
        <v>20</v>
      </c>
    </row>
    <row r="10" spans="2:7" x14ac:dyDescent="0.25">
      <c r="B10" t="s">
        <v>26</v>
      </c>
      <c r="C10">
        <f>C8/C9*10^15</f>
        <v>6378277777.7777872</v>
      </c>
      <c r="D10" t="s">
        <v>45</v>
      </c>
    </row>
    <row r="11" spans="2:7" x14ac:dyDescent="0.25">
      <c r="B11" t="s">
        <v>34</v>
      </c>
      <c r="C11">
        <f>C10/2/C4*C6*C6*10^(-20)</f>
        <v>6.4633298841786653</v>
      </c>
      <c r="E11">
        <f>C10/2/E4*C6*C6*10^(-20)</f>
        <v>6.2166450075806878</v>
      </c>
    </row>
    <row r="12" spans="2:7" x14ac:dyDescent="0.25">
      <c r="B12" t="s">
        <v>31</v>
      </c>
      <c r="C12">
        <v>1.21</v>
      </c>
      <c r="D12">
        <v>1.25</v>
      </c>
      <c r="E12">
        <v>1.177</v>
      </c>
    </row>
    <row r="13" spans="2:7" x14ac:dyDescent="0.25">
      <c r="C13" t="s">
        <v>52</v>
      </c>
    </row>
    <row r="14" spans="2:7" x14ac:dyDescent="0.25">
      <c r="B14" t="s">
        <v>32</v>
      </c>
      <c r="C14">
        <f>1/(SQRT(2)*PI()*$C2*$C2*C12/$C1)</f>
        <v>7.4602987452422044E-8</v>
      </c>
      <c r="D14">
        <f>1/(SQRT(2)*PI()*$C2*$C2*D12/$C1)</f>
        <v>7.2215691853944545E-8</v>
      </c>
      <c r="E14">
        <f>1/(SQRT(2)*PI()*$C2*$C2*E12/$C1)</f>
        <v>7.6694659997817061E-8</v>
      </c>
      <c r="G14">
        <f>C14*10^10</f>
        <v>746.02987452422042</v>
      </c>
    </row>
    <row r="15" spans="2:7" x14ac:dyDescent="0.25">
      <c r="B15" t="s">
        <v>11</v>
      </c>
      <c r="C15">
        <f>C14/$C6*10^10</f>
        <v>0.37301493726211021</v>
      </c>
      <c r="D15">
        <f>D14/$C6*10^10</f>
        <v>0.36107845926972271</v>
      </c>
      <c r="E15">
        <f>E14/$C6*10^10</f>
        <v>0.38347329998908525</v>
      </c>
    </row>
    <row r="16" spans="2:7" x14ac:dyDescent="0.25">
      <c r="B16" t="s">
        <v>38</v>
      </c>
      <c r="C16">
        <v>1000</v>
      </c>
      <c r="D16" t="s">
        <v>10</v>
      </c>
    </row>
    <row r="17" spans="2:22" x14ac:dyDescent="0.25">
      <c r="B17" t="s">
        <v>39</v>
      </c>
      <c r="C17">
        <v>1000</v>
      </c>
      <c r="D17" t="s">
        <v>10</v>
      </c>
    </row>
    <row r="18" spans="2:22" x14ac:dyDescent="0.25">
      <c r="B18" t="s">
        <v>40</v>
      </c>
      <c r="C18">
        <v>200</v>
      </c>
      <c r="D18" t="s">
        <v>41</v>
      </c>
    </row>
    <row r="19" spans="2:22" x14ac:dyDescent="0.25">
      <c r="B19" t="s">
        <v>12</v>
      </c>
      <c r="C19">
        <v>1</v>
      </c>
    </row>
    <row r="21" spans="2:22" x14ac:dyDescent="0.25">
      <c r="C21" t="s">
        <v>15</v>
      </c>
    </row>
    <row r="22" spans="2:22" x14ac:dyDescent="0.25">
      <c r="B22" t="s">
        <v>16</v>
      </c>
      <c r="C22">
        <v>4.4064924999999997</v>
      </c>
      <c r="D22">
        <v>4.8051077333333332</v>
      </c>
      <c r="E22">
        <v>5.0391409666666664</v>
      </c>
      <c r="F22">
        <v>4.7887505333333333</v>
      </c>
      <c r="G22">
        <v>4.7410516000000014</v>
      </c>
      <c r="H22">
        <v>4.7426631666666674</v>
      </c>
      <c r="I22">
        <v>5.1227736000000004</v>
      </c>
      <c r="J22">
        <v>4.9395315333333336</v>
      </c>
      <c r="K22">
        <v>4.2328869666666664</v>
      </c>
      <c r="L22">
        <v>4.353712466666666</v>
      </c>
      <c r="M22">
        <v>3.8733797000000001</v>
      </c>
      <c r="N22">
        <v>4.0883494000000002</v>
      </c>
      <c r="O22">
        <v>4.1361618999999994</v>
      </c>
      <c r="P22">
        <v>4.0148794666666658</v>
      </c>
      <c r="Q22">
        <v>3.7007035999999998</v>
      </c>
      <c r="R22">
        <v>3.7979996666666662</v>
      </c>
      <c r="S22">
        <v>3.3449579333333341</v>
      </c>
      <c r="T22">
        <v>3.1633613999999999</v>
      </c>
      <c r="U22">
        <v>2.9165396000000006</v>
      </c>
      <c r="V22">
        <v>2.5185548</v>
      </c>
    </row>
    <row r="23" spans="2:22" x14ac:dyDescent="0.25">
      <c r="B23" t="s">
        <v>24</v>
      </c>
      <c r="C23">
        <f>C22/$C$11</f>
        <v>0.68176815650188027</v>
      </c>
      <c r="D23">
        <f t="shared" ref="D23:V23" si="0">D22/$C$11</f>
        <v>0.74344151071347453</v>
      </c>
      <c r="E23">
        <f t="shared" si="0"/>
        <v>0.77965090084629352</v>
      </c>
      <c r="F23">
        <f t="shared" si="0"/>
        <v>0.74091074092559162</v>
      </c>
      <c r="G23">
        <f t="shared" si="0"/>
        <v>0.73353080918946101</v>
      </c>
      <c r="H23">
        <f t="shared" si="0"/>
        <v>0.73378014918843126</v>
      </c>
      <c r="I23">
        <f t="shared" si="0"/>
        <v>0.79259045906659342</v>
      </c>
      <c r="J23">
        <f t="shared" si="0"/>
        <v>0.7642394279494571</v>
      </c>
      <c r="K23">
        <f t="shared" si="0"/>
        <v>0.65490808028044278</v>
      </c>
      <c r="L23">
        <f t="shared" si="0"/>
        <v>0.67360208200481153</v>
      </c>
      <c r="M23">
        <f t="shared" si="0"/>
        <v>0.5992854719486771</v>
      </c>
      <c r="N23">
        <f t="shared" si="0"/>
        <v>0.63254537107996178</v>
      </c>
      <c r="O23">
        <f t="shared" si="0"/>
        <v>0.63994287373831094</v>
      </c>
      <c r="P23">
        <f t="shared" si="0"/>
        <v>0.62117817574104239</v>
      </c>
      <c r="Q23">
        <f t="shared" si="0"/>
        <v>0.57256919673229256</v>
      </c>
      <c r="R23">
        <f t="shared" si="0"/>
        <v>0.58762274782904744</v>
      </c>
      <c r="S23">
        <f t="shared" si="0"/>
        <v>0.51752857942797059</v>
      </c>
      <c r="T23">
        <f t="shared" si="0"/>
        <v>0.48943214359883896</v>
      </c>
      <c r="U23">
        <f t="shared" si="0"/>
        <v>0.45124411909398043</v>
      </c>
      <c r="V23">
        <f t="shared" si="0"/>
        <v>0.38966830490349452</v>
      </c>
    </row>
    <row r="24" spans="2:22" x14ac:dyDescent="0.25">
      <c r="B24" t="s">
        <v>29</v>
      </c>
      <c r="C24">
        <f>AVERAGE(C22:V22)</f>
        <v>4.136349926666667</v>
      </c>
    </row>
    <row r="25" spans="2:22" x14ac:dyDescent="0.25">
      <c r="B25" t="s">
        <v>30</v>
      </c>
      <c r="C25">
        <f>C22/$C$24</f>
        <v>1.0653094100167271</v>
      </c>
      <c r="D25">
        <f t="shared" ref="D25:V25" si="1">D22/$C$24</f>
        <v>1.1616782473734262</v>
      </c>
      <c r="E25">
        <f t="shared" si="1"/>
        <v>1.2182578979065066</v>
      </c>
      <c r="F25">
        <f t="shared" si="1"/>
        <v>1.1577237463544126</v>
      </c>
      <c r="G25">
        <f t="shared" si="1"/>
        <v>1.1461920978771352</v>
      </c>
      <c r="H25">
        <f t="shared" si="1"/>
        <v>1.1465817086922832</v>
      </c>
      <c r="I25">
        <f t="shared" si="1"/>
        <v>1.2384768433091096</v>
      </c>
      <c r="J25">
        <f t="shared" si="1"/>
        <v>1.1941764166248674</v>
      </c>
      <c r="K25">
        <f t="shared" si="1"/>
        <v>1.0233387024094924</v>
      </c>
      <c r="L25">
        <f t="shared" si="1"/>
        <v>1.0525493596657969</v>
      </c>
      <c r="M25">
        <f t="shared" si="1"/>
        <v>0.93642456964984466</v>
      </c>
      <c r="N25">
        <f t="shared" si="1"/>
        <v>0.98839543860706469</v>
      </c>
      <c r="O25">
        <f t="shared" si="1"/>
        <v>0.99995454285299812</v>
      </c>
      <c r="P25">
        <f t="shared" si="1"/>
        <v>0.97063341783128831</v>
      </c>
      <c r="Q25">
        <f t="shared" si="1"/>
        <v>0.8946785609558574</v>
      </c>
      <c r="R25">
        <f t="shared" si="1"/>
        <v>0.91820076492593439</v>
      </c>
      <c r="S25">
        <f t="shared" si="1"/>
        <v>0.80867382901255491</v>
      </c>
      <c r="T25">
        <f t="shared" si="1"/>
        <v>0.76477122489228977</v>
      </c>
      <c r="U25">
        <f t="shared" si="1"/>
        <v>0.70509982271986671</v>
      </c>
      <c r="V25">
        <f t="shared" si="1"/>
        <v>0.60888339832254257</v>
      </c>
    </row>
    <row r="27" spans="2:22" x14ac:dyDescent="0.25">
      <c r="C27" t="s">
        <v>49</v>
      </c>
    </row>
    <row r="28" spans="2:22" x14ac:dyDescent="0.25">
      <c r="B28" t="s">
        <v>16</v>
      </c>
      <c r="C28">
        <v>6.8574057999999996</v>
      </c>
      <c r="D28">
        <v>7.0324957000000001</v>
      </c>
      <c r="E28">
        <v>6.5591169999999988</v>
      </c>
      <c r="F28">
        <v>6.6561402000000003</v>
      </c>
      <c r="G28">
        <v>6.606312</v>
      </c>
      <c r="H28">
        <v>6.5397734999999999</v>
      </c>
      <c r="I28">
        <v>6.476408600000001</v>
      </c>
      <c r="J28">
        <v>5.9142903000000002</v>
      </c>
      <c r="K28">
        <v>6.0977243999999997</v>
      </c>
      <c r="L28">
        <v>5.8759262000000003</v>
      </c>
      <c r="M28">
        <v>5.6156607000000012</v>
      </c>
      <c r="N28">
        <v>5.4278094000000001</v>
      </c>
      <c r="O28">
        <v>5.030307500000001</v>
      </c>
      <c r="P28">
        <v>4.6245637999999998</v>
      </c>
      <c r="Q28">
        <v>4.4753169999999995</v>
      </c>
      <c r="R28">
        <v>3.8746215999999998</v>
      </c>
      <c r="S28">
        <v>3.4260581999999999</v>
      </c>
      <c r="T28">
        <v>3.2474627000000007</v>
      </c>
      <c r="U28">
        <v>2.6484131</v>
      </c>
      <c r="V28">
        <v>2.1983851000000003</v>
      </c>
    </row>
    <row r="29" spans="2:22" x14ac:dyDescent="0.25">
      <c r="C29" t="s">
        <v>50</v>
      </c>
    </row>
    <row r="30" spans="2:22" x14ac:dyDescent="0.25">
      <c r="B30" t="s">
        <v>16</v>
      </c>
      <c r="C30">
        <v>6.5319335490196089</v>
      </c>
      <c r="D30">
        <v>7.1227567254901967</v>
      </c>
      <c r="E30">
        <v>6.0515091764705904</v>
      </c>
      <c r="F30">
        <v>6.292066725490197</v>
      </c>
      <c r="G30">
        <v>6.3762554705882355</v>
      </c>
      <c r="H30">
        <v>6.5922658823529385</v>
      </c>
      <c r="I30">
        <v>6.0862468823529428</v>
      </c>
      <c r="J30">
        <v>6.443624784313724</v>
      </c>
      <c r="K30">
        <v>6.403544352941176</v>
      </c>
      <c r="L30">
        <v>5.979572980392156</v>
      </c>
      <c r="M30">
        <v>5.7798341960784336</v>
      </c>
      <c r="N30">
        <v>5.5481685098039213</v>
      </c>
      <c r="O30">
        <v>4.5409234901960787</v>
      </c>
      <c r="P30">
        <v>4.3388772352941176</v>
      </c>
      <c r="Q30">
        <v>4.3904393137254907</v>
      </c>
      <c r="R30">
        <v>4.3471754901960775</v>
      </c>
      <c r="S30">
        <v>3.5517136666666667</v>
      </c>
      <c r="T30">
        <v>3.0948073725490195</v>
      </c>
      <c r="U30">
        <v>2.6744571372549024</v>
      </c>
      <c r="V30">
        <v>1.6665205686274511</v>
      </c>
    </row>
    <row r="31" spans="2:22" x14ac:dyDescent="0.25">
      <c r="C31" t="s">
        <v>36</v>
      </c>
    </row>
    <row r="32" spans="2:22" x14ac:dyDescent="0.25">
      <c r="B32" t="s">
        <v>16</v>
      </c>
      <c r="C32">
        <v>5.3264141</v>
      </c>
      <c r="D32">
        <v>4.7547923000000001</v>
      </c>
      <c r="E32">
        <v>5.0722536999999992</v>
      </c>
      <c r="F32">
        <v>5.3259808</v>
      </c>
      <c r="G32">
        <v>4.2068625999999991</v>
      </c>
      <c r="H32">
        <v>4.4006308999999995</v>
      </c>
      <c r="I32">
        <v>4.5715316999999995</v>
      </c>
      <c r="J32">
        <v>3.2911158999999999</v>
      </c>
      <c r="K32">
        <v>4.2114177000000002</v>
      </c>
      <c r="L32">
        <v>4.0424135000000003</v>
      </c>
      <c r="M32">
        <v>3.5080183000000007</v>
      </c>
      <c r="N32">
        <v>4.2556728999999995</v>
      </c>
      <c r="O32">
        <v>3.8221545000000008</v>
      </c>
      <c r="P32">
        <v>4.0160868000000001</v>
      </c>
      <c r="Q32">
        <v>4.0316391999999999</v>
      </c>
      <c r="R32">
        <v>4.1787505000000014</v>
      </c>
      <c r="S32">
        <v>3.3044774000000006</v>
      </c>
      <c r="T32">
        <v>3.0142319</v>
      </c>
      <c r="U32">
        <v>2.6595435000000003</v>
      </c>
      <c r="V32">
        <v>2.5262859999999998</v>
      </c>
    </row>
    <row r="34" spans="2:4" x14ac:dyDescent="0.25">
      <c r="B34" t="s">
        <v>37</v>
      </c>
      <c r="C34">
        <v>-4.85738E-2</v>
      </c>
      <c r="D34" t="s">
        <v>44</v>
      </c>
    </row>
    <row r="35" spans="2:4" x14ac:dyDescent="0.25">
      <c r="B35" t="s">
        <v>42</v>
      </c>
      <c r="C35">
        <f>-C34/C16/C17*10000000000</f>
        <v>485.738</v>
      </c>
      <c r="D35" t="s">
        <v>43</v>
      </c>
    </row>
    <row r="36" spans="2:4" x14ac:dyDescent="0.25">
      <c r="B36" t="s">
        <v>46</v>
      </c>
      <c r="C36">
        <f>C35/C10/C6*2*10^10</f>
        <v>0.76155040110095795</v>
      </c>
    </row>
    <row r="37" spans="2:4" x14ac:dyDescent="0.25">
      <c r="B37" t="s">
        <v>48</v>
      </c>
      <c r="C37">
        <f>C7*C6/SQRT(2*PI()*C3*C5)/C4*(2-C19)/C19*C15*10^(-10)</f>
        <v>0.51039443361961578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25"/>
  <sheetViews>
    <sheetView workbookViewId="0">
      <selection activeCell="C11" sqref="C11"/>
    </sheetView>
  </sheetViews>
  <sheetFormatPr defaultRowHeight="13.2" x14ac:dyDescent="0.25"/>
  <cols>
    <col min="2" max="2" width="18.109375" customWidth="1"/>
    <col min="3" max="3" width="9.109375" customWidth="1"/>
    <col min="5" max="5" width="11" bestFit="1" customWidth="1"/>
  </cols>
  <sheetData>
    <row r="1" spans="2:7" x14ac:dyDescent="0.25">
      <c r="B1" t="s">
        <v>18</v>
      </c>
      <c r="C1">
        <f>0.032/6.022/1000</f>
        <v>5.3138492195283959E-6</v>
      </c>
      <c r="D1" t="s">
        <v>21</v>
      </c>
    </row>
    <row r="2" spans="2:7" x14ac:dyDescent="0.25">
      <c r="B2" t="s">
        <v>19</v>
      </c>
      <c r="C2">
        <v>3.64</v>
      </c>
      <c r="D2" t="s">
        <v>20</v>
      </c>
    </row>
    <row r="3" spans="2:7" x14ac:dyDescent="0.25">
      <c r="B3" t="s">
        <v>22</v>
      </c>
      <c r="C3">
        <f>1.38/C1/1000</f>
        <v>259.69874999999996</v>
      </c>
    </row>
    <row r="4" spans="2:7" x14ac:dyDescent="0.25">
      <c r="B4" t="s">
        <v>17</v>
      </c>
      <c r="C4">
        <f>5/16*C1/C2/C2*SQRT(C3*C5/PI())</f>
        <v>1.9736816446243676E-5</v>
      </c>
      <c r="E4">
        <f>2052*10^(-8)</f>
        <v>2.052E-5</v>
      </c>
    </row>
    <row r="5" spans="2:7" x14ac:dyDescent="0.25">
      <c r="B5" t="s">
        <v>23</v>
      </c>
      <c r="C5">
        <v>300</v>
      </c>
    </row>
    <row r="6" spans="2:7" x14ac:dyDescent="0.25">
      <c r="B6" t="s">
        <v>25</v>
      </c>
      <c r="C6">
        <v>2000</v>
      </c>
    </row>
    <row r="7" spans="2:7" x14ac:dyDescent="0.25">
      <c r="B7" t="s">
        <v>47</v>
      </c>
      <c r="C7">
        <v>94474</v>
      </c>
      <c r="D7" t="s">
        <v>43</v>
      </c>
    </row>
    <row r="8" spans="2:7" x14ac:dyDescent="0.25">
      <c r="B8" t="s">
        <v>27</v>
      </c>
      <c r="C8">
        <v>5.1400000000000001E-2</v>
      </c>
      <c r="D8" t="s">
        <v>51</v>
      </c>
    </row>
    <row r="9" spans="2:7" x14ac:dyDescent="0.25">
      <c r="B9" t="s">
        <v>28</v>
      </c>
      <c r="C9">
        <v>9000</v>
      </c>
      <c r="D9" t="s">
        <v>20</v>
      </c>
    </row>
    <row r="10" spans="2:7" x14ac:dyDescent="0.25">
      <c r="B10" t="s">
        <v>26</v>
      </c>
      <c r="C10">
        <f>C8/C9*10^15</f>
        <v>5711111111.1111107</v>
      </c>
      <c r="D10" t="s">
        <v>45</v>
      </c>
    </row>
    <row r="11" spans="2:7" x14ac:dyDescent="0.25">
      <c r="B11" t="s">
        <v>34</v>
      </c>
      <c r="C11">
        <f>C10/2/C4*C6*C6*10^(-20)</f>
        <v>5.7872667830358751</v>
      </c>
      <c r="E11">
        <f>C10/2/E4*C6*C6*10^(-20)</f>
        <v>5.5663850985488397</v>
      </c>
    </row>
    <row r="12" spans="2:7" x14ac:dyDescent="0.25">
      <c r="B12" t="s">
        <v>31</v>
      </c>
      <c r="C12">
        <v>2.4900000000000002</v>
      </c>
      <c r="D12">
        <v>1.25</v>
      </c>
      <c r="E12">
        <v>1.177</v>
      </c>
    </row>
    <row r="13" spans="2:7" x14ac:dyDescent="0.25">
      <c r="C13" t="s">
        <v>52</v>
      </c>
    </row>
    <row r="14" spans="2:7" x14ac:dyDescent="0.25">
      <c r="B14" t="s">
        <v>32</v>
      </c>
      <c r="C14">
        <f>1/(SQRT(2)*PI()*$C2*$C2*C12/$C1)</f>
        <v>3.6252857356397865E-8</v>
      </c>
      <c r="D14">
        <f>1/(SQRT(2)*PI()*$C2*$C2*D12/$C1)</f>
        <v>7.2215691853944545E-8</v>
      </c>
      <c r="E14">
        <f>1/(SQRT(2)*PI()*$C2*$C2*E12/$C1)</f>
        <v>7.6694659997817061E-8</v>
      </c>
      <c r="G14">
        <f>C14*10^10</f>
        <v>362.52857356397863</v>
      </c>
    </row>
    <row r="15" spans="2:7" x14ac:dyDescent="0.25">
      <c r="B15" t="s">
        <v>11</v>
      </c>
      <c r="C15">
        <f>C14/$C6*10^10</f>
        <v>0.18126428678198933</v>
      </c>
      <c r="D15">
        <f>D14/$C6*10^10</f>
        <v>0.36107845926972271</v>
      </c>
      <c r="E15">
        <f>E14/$C6*10^10</f>
        <v>0.38347329998908525</v>
      </c>
    </row>
    <row r="16" spans="2:7" x14ac:dyDescent="0.25">
      <c r="B16" t="s">
        <v>38</v>
      </c>
      <c r="C16">
        <v>1000</v>
      </c>
      <c r="D16" t="s">
        <v>10</v>
      </c>
    </row>
    <row r="17" spans="2:22" x14ac:dyDescent="0.25">
      <c r="B17" t="s">
        <v>39</v>
      </c>
      <c r="C17">
        <v>1000</v>
      </c>
      <c r="D17" t="s">
        <v>10</v>
      </c>
    </row>
    <row r="18" spans="2:22" x14ac:dyDescent="0.25">
      <c r="B18" t="s">
        <v>40</v>
      </c>
      <c r="C18">
        <v>200</v>
      </c>
      <c r="D18" t="s">
        <v>41</v>
      </c>
    </row>
    <row r="19" spans="2:22" x14ac:dyDescent="0.25">
      <c r="B19" t="s">
        <v>12</v>
      </c>
      <c r="C19">
        <v>1</v>
      </c>
    </row>
    <row r="22" spans="2:22" x14ac:dyDescent="0.25">
      <c r="B22" t="s">
        <v>16</v>
      </c>
      <c r="C22">
        <v>2.5338881999999998</v>
      </c>
      <c r="D22">
        <v>2.4961126</v>
      </c>
      <c r="E22">
        <v>2.6035278999999996</v>
      </c>
      <c r="F22">
        <v>2.8061495499999998</v>
      </c>
      <c r="G22">
        <v>2.5777657999999999</v>
      </c>
      <c r="H22">
        <v>2.6918927500000001</v>
      </c>
      <c r="I22">
        <v>2.47327195</v>
      </c>
      <c r="J22">
        <v>2.6317540500000005</v>
      </c>
      <c r="K22">
        <v>2.2370768500000002</v>
      </c>
      <c r="L22">
        <v>2.4458570000000002</v>
      </c>
      <c r="M22">
        <v>2.1169243499999997</v>
      </c>
      <c r="N22">
        <v>1.9885055999999999</v>
      </c>
      <c r="O22">
        <v>1.9364709999999998</v>
      </c>
      <c r="P22">
        <v>1.9585669999999997</v>
      </c>
      <c r="Q22">
        <v>1.7620427000000003</v>
      </c>
      <c r="R22">
        <v>1.7552335000000003</v>
      </c>
      <c r="S22">
        <v>1.58636015</v>
      </c>
      <c r="T22">
        <v>1.5390072000000001</v>
      </c>
      <c r="U22">
        <v>1.35485875</v>
      </c>
      <c r="V22">
        <v>1.2082222499999999</v>
      </c>
    </row>
    <row r="23" spans="2:22" x14ac:dyDescent="0.25">
      <c r="B23" t="s">
        <v>24</v>
      </c>
      <c r="C23">
        <f>C22/$C$11</f>
        <v>0.43783849872405173</v>
      </c>
      <c r="D23">
        <f t="shared" ref="D23:V23" si="0">D22/$C$11</f>
        <v>0.43131113418113298</v>
      </c>
      <c r="E23">
        <f t="shared" si="0"/>
        <v>0.44987176116222605</v>
      </c>
      <c r="F23">
        <f t="shared" si="0"/>
        <v>0.48488339231666705</v>
      </c>
      <c r="G23">
        <f t="shared" si="0"/>
        <v>0.44542024700782146</v>
      </c>
      <c r="H23">
        <f t="shared" si="0"/>
        <v>0.46514060106762373</v>
      </c>
      <c r="I23">
        <f t="shared" si="0"/>
        <v>0.42736442654585471</v>
      </c>
      <c r="J23">
        <f t="shared" si="0"/>
        <v>0.45474904625347845</v>
      </c>
      <c r="K23">
        <f t="shared" si="0"/>
        <v>0.38655153354213923</v>
      </c>
      <c r="L23">
        <f t="shared" si="0"/>
        <v>0.42262731124984643</v>
      </c>
      <c r="M23">
        <f t="shared" si="0"/>
        <v>0.36579000577704607</v>
      </c>
      <c r="N23">
        <f t="shared" si="0"/>
        <v>0.34360012671765461</v>
      </c>
      <c r="O23">
        <f t="shared" si="0"/>
        <v>0.33460890479014155</v>
      </c>
      <c r="P23">
        <f t="shared" si="0"/>
        <v>0.33842694201364909</v>
      </c>
      <c r="Q23">
        <f t="shared" si="0"/>
        <v>0.30446889111195785</v>
      </c>
      <c r="R23">
        <f t="shared" si="0"/>
        <v>0.30329230806243268</v>
      </c>
      <c r="S23">
        <f t="shared" si="0"/>
        <v>0.27411215163781161</v>
      </c>
      <c r="T23">
        <f t="shared" si="0"/>
        <v>0.2659298867146177</v>
      </c>
      <c r="U23">
        <f t="shared" si="0"/>
        <v>0.23411029779575332</v>
      </c>
      <c r="V23">
        <f t="shared" si="0"/>
        <v>0.20877251650842207</v>
      </c>
    </row>
    <row r="24" spans="2:22" x14ac:dyDescent="0.25">
      <c r="B24" t="s">
        <v>29</v>
      </c>
      <c r="C24">
        <f>AVERAGE(C22:V22)</f>
        <v>2.1351744575000002</v>
      </c>
    </row>
    <row r="25" spans="2:22" x14ac:dyDescent="0.25">
      <c r="B25" t="s">
        <v>30</v>
      </c>
      <c r="C25">
        <f>C22/$C$24</f>
        <v>1.1867359086745723</v>
      </c>
      <c r="D25">
        <f t="shared" ref="D25:V25" si="1">D22/$C$24</f>
        <v>1.1690438648852186</v>
      </c>
      <c r="E25">
        <f t="shared" si="1"/>
        <v>1.2193513700273362</v>
      </c>
      <c r="F25">
        <f t="shared" si="1"/>
        <v>1.314248369796265</v>
      </c>
      <c r="G25">
        <f t="shared" si="1"/>
        <v>1.2072857985657126</v>
      </c>
      <c r="H25">
        <f t="shared" si="1"/>
        <v>1.2607366768296027</v>
      </c>
      <c r="I25">
        <f t="shared" si="1"/>
        <v>1.1583465422754571</v>
      </c>
      <c r="J25">
        <f t="shared" si="1"/>
        <v>1.2325709689696398</v>
      </c>
      <c r="K25">
        <f t="shared" si="1"/>
        <v>1.0477255580414324</v>
      </c>
      <c r="L25">
        <f t="shared" si="1"/>
        <v>1.1455068654501268</v>
      </c>
      <c r="M25">
        <f t="shared" si="1"/>
        <v>0.99145263871254397</v>
      </c>
      <c r="N25">
        <f t="shared" si="1"/>
        <v>0.93130825587351318</v>
      </c>
      <c r="O25">
        <f t="shared" si="1"/>
        <v>0.90693806925142073</v>
      </c>
      <c r="P25">
        <f t="shared" si="1"/>
        <v>0.91728663815752842</v>
      </c>
      <c r="Q25">
        <f t="shared" si="1"/>
        <v>0.82524530668239326</v>
      </c>
      <c r="R25">
        <f t="shared" si="1"/>
        <v>0.82205624642734854</v>
      </c>
      <c r="S25">
        <f t="shared" si="1"/>
        <v>0.7429651213875107</v>
      </c>
      <c r="T25">
        <f t="shared" si="1"/>
        <v>0.72078756590314819</v>
      </c>
      <c r="U25">
        <f t="shared" si="1"/>
        <v>0.6345424118581654</v>
      </c>
      <c r="V25">
        <f t="shared" si="1"/>
        <v>0.5658658222310623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19"/>
  <sheetViews>
    <sheetView workbookViewId="0">
      <selection activeCell="C12" sqref="C12"/>
    </sheetView>
  </sheetViews>
  <sheetFormatPr defaultRowHeight="13.2" x14ac:dyDescent="0.25"/>
  <cols>
    <col min="2" max="2" width="18.109375" customWidth="1"/>
    <col min="3" max="3" width="9.109375" customWidth="1"/>
  </cols>
  <sheetData>
    <row r="1" spans="2:22" x14ac:dyDescent="0.25">
      <c r="B1" t="s">
        <v>18</v>
      </c>
      <c r="C1">
        <f>0.032/6.022/1000</f>
        <v>5.3138492195283959E-6</v>
      </c>
      <c r="D1" t="s">
        <v>21</v>
      </c>
    </row>
    <row r="2" spans="2:22" x14ac:dyDescent="0.25">
      <c r="B2" t="s">
        <v>19</v>
      </c>
      <c r="C2">
        <v>3.64</v>
      </c>
      <c r="D2" t="s">
        <v>20</v>
      </c>
    </row>
    <row r="3" spans="2:22" x14ac:dyDescent="0.25">
      <c r="B3" t="s">
        <v>22</v>
      </c>
      <c r="C3">
        <f>1.38/C1/1000</f>
        <v>259.69874999999996</v>
      </c>
    </row>
    <row r="4" spans="2:22" x14ac:dyDescent="0.25">
      <c r="B4" t="s">
        <v>17</v>
      </c>
      <c r="C4">
        <f>5/16*C1/C2/C2*SQRT(C3*C5/PI())</f>
        <v>1.9736816446243676E-5</v>
      </c>
    </row>
    <row r="5" spans="2:22" x14ac:dyDescent="0.25">
      <c r="B5" t="s">
        <v>23</v>
      </c>
      <c r="C5">
        <v>300</v>
      </c>
    </row>
    <row r="6" spans="2:22" x14ac:dyDescent="0.25">
      <c r="B6" t="s">
        <v>25</v>
      </c>
      <c r="C6">
        <v>2000</v>
      </c>
    </row>
    <row r="7" spans="2:22" x14ac:dyDescent="0.25">
      <c r="B7" t="s">
        <v>27</v>
      </c>
      <c r="C7">
        <v>0.28499999999999998</v>
      </c>
    </row>
    <row r="8" spans="2:22" x14ac:dyDescent="0.25">
      <c r="B8" t="s">
        <v>28</v>
      </c>
      <c r="C8">
        <v>9000</v>
      </c>
      <c r="D8" t="s">
        <v>20</v>
      </c>
    </row>
    <row r="9" spans="2:22" x14ac:dyDescent="0.25">
      <c r="B9" t="s">
        <v>26</v>
      </c>
      <c r="C9">
        <f>C7/C8*10^15</f>
        <v>31666666666.666668</v>
      </c>
    </row>
    <row r="10" spans="2:22" x14ac:dyDescent="0.25">
      <c r="B10" t="s">
        <v>34</v>
      </c>
      <c r="C10">
        <f>C9/2/C4*C6*C6*10^(-20)</f>
        <v>32.088930606327331</v>
      </c>
    </row>
    <row r="11" spans="2:22" x14ac:dyDescent="0.25">
      <c r="B11" t="s">
        <v>31</v>
      </c>
      <c r="C11">
        <v>1.2</v>
      </c>
    </row>
    <row r="12" spans="2:22" x14ac:dyDescent="0.25">
      <c r="B12" t="s">
        <v>32</v>
      </c>
      <c r="C12">
        <f>1/(SQRT(2)*PI()*C2*C2*C11/C1)</f>
        <v>7.522467901452557E-8</v>
      </c>
    </row>
    <row r="13" spans="2:22" x14ac:dyDescent="0.25">
      <c r="B13" t="s">
        <v>11</v>
      </c>
      <c r="C13">
        <f>C12/C6*10^10</f>
        <v>0.37612339507262782</v>
      </c>
    </row>
    <row r="15" spans="2:22" x14ac:dyDescent="0.25">
      <c r="C15" t="s">
        <v>35</v>
      </c>
    </row>
    <row r="16" spans="2:22" x14ac:dyDescent="0.25">
      <c r="B16" t="s">
        <v>16</v>
      </c>
      <c r="C16">
        <v>24.258642417305833</v>
      </c>
      <c r="D16">
        <v>24.337870256346672</v>
      </c>
      <c r="E16">
        <v>24.229515529559752</v>
      </c>
      <c r="F16">
        <v>24.046288746021585</v>
      </c>
      <c r="G16">
        <v>24.220062487700329</v>
      </c>
      <c r="H16">
        <v>23.724316530803083</v>
      </c>
      <c r="I16">
        <v>23.288281250056329</v>
      </c>
      <c r="J16">
        <v>22.200674660077336</v>
      </c>
      <c r="K16">
        <v>22.273637723057085</v>
      </c>
      <c r="L16">
        <v>21.354396761079499</v>
      </c>
      <c r="M16">
        <v>21.777734478907838</v>
      </c>
      <c r="N16">
        <v>21.12841277842017</v>
      </c>
      <c r="O16">
        <v>20.514153474978333</v>
      </c>
      <c r="P16">
        <v>18.910650571204751</v>
      </c>
      <c r="Q16">
        <v>18.649476113503166</v>
      </c>
      <c r="R16">
        <v>17.827916430074499</v>
      </c>
      <c r="S16">
        <v>17.246560861749668</v>
      </c>
      <c r="T16">
        <v>15.726335848277584</v>
      </c>
      <c r="U16">
        <v>14.053988334045416</v>
      </c>
      <c r="V16">
        <v>12.300786407422999</v>
      </c>
    </row>
    <row r="17" spans="2:22" x14ac:dyDescent="0.25">
      <c r="B17" t="s">
        <v>24</v>
      </c>
      <c r="C17">
        <f>C16/$C$10</f>
        <v>0.75598164098751508</v>
      </c>
      <c r="D17">
        <f t="shared" ref="D17:V17" si="0">D16/$C$10</f>
        <v>0.75845064938211759</v>
      </c>
      <c r="E17">
        <f t="shared" si="0"/>
        <v>0.75507394829736552</v>
      </c>
      <c r="F17">
        <f t="shared" si="0"/>
        <v>0.74936397977937319</v>
      </c>
      <c r="G17">
        <f t="shared" si="0"/>
        <v>0.75477935942572638</v>
      </c>
      <c r="H17">
        <f t="shared" si="0"/>
        <v>0.73933023265428155</v>
      </c>
      <c r="I17">
        <f t="shared" si="0"/>
        <v>0.72574189323293681</v>
      </c>
      <c r="J17">
        <f t="shared" si="0"/>
        <v>0.69184838012955729</v>
      </c>
      <c r="K17">
        <f t="shared" si="0"/>
        <v>0.69412215683701051</v>
      </c>
      <c r="L17">
        <f t="shared" si="0"/>
        <v>0.66547548820055769</v>
      </c>
      <c r="M17">
        <f t="shared" si="0"/>
        <v>0.67866812846089919</v>
      </c>
      <c r="N17">
        <f t="shared" si="0"/>
        <v>0.65843306022339199</v>
      </c>
      <c r="O17">
        <f t="shared" si="0"/>
        <v>0.63929065529324092</v>
      </c>
      <c r="P17">
        <f t="shared" si="0"/>
        <v>0.58932006189934949</v>
      </c>
      <c r="Q17">
        <f t="shared" si="0"/>
        <v>0.58118097926971246</v>
      </c>
      <c r="R17">
        <f t="shared" si="0"/>
        <v>0.5555783908410824</v>
      </c>
      <c r="S17">
        <f t="shared" si="0"/>
        <v>0.5374613779852474</v>
      </c>
      <c r="T17">
        <f t="shared" si="0"/>
        <v>0.49008600633068922</v>
      </c>
      <c r="U17">
        <f t="shared" si="0"/>
        <v>0.43796998118953318</v>
      </c>
      <c r="V17">
        <f t="shared" si="0"/>
        <v>0.38333425810698463</v>
      </c>
    </row>
    <row r="18" spans="2:22" x14ac:dyDescent="0.25">
      <c r="B18" t="s">
        <v>29</v>
      </c>
      <c r="C18">
        <f>AVERAGE(C16:V16)</f>
        <v>20.6034850830296</v>
      </c>
    </row>
    <row r="19" spans="2:22" x14ac:dyDescent="0.25">
      <c r="B19" t="s">
        <v>30</v>
      </c>
      <c r="C19">
        <f>C16/$C$18</f>
        <v>1.1774048089217131</v>
      </c>
      <c r="D19">
        <f t="shared" ref="D19:V19" si="1">D16/$C$18</f>
        <v>1.1812501699721161</v>
      </c>
      <c r="E19">
        <f t="shared" si="1"/>
        <v>1.1759911214980223</v>
      </c>
      <c r="F19">
        <f t="shared" si="1"/>
        <v>1.1670981219496552</v>
      </c>
      <c r="G19">
        <f t="shared" si="1"/>
        <v>1.1755323135914313</v>
      </c>
      <c r="H19">
        <f t="shared" si="1"/>
        <v>1.1514710465339675</v>
      </c>
      <c r="I19">
        <f t="shared" si="1"/>
        <v>1.1303078656939503</v>
      </c>
      <c r="J19">
        <f t="shared" si="1"/>
        <v>1.0775203598134613</v>
      </c>
      <c r="K19">
        <f t="shared" si="1"/>
        <v>1.0810616569622551</v>
      </c>
      <c r="L19">
        <f t="shared" si="1"/>
        <v>1.036445857340339</v>
      </c>
      <c r="M19">
        <f t="shared" si="1"/>
        <v>1.0569927558928089</v>
      </c>
      <c r="N19">
        <f t="shared" si="1"/>
        <v>1.0254776166883988</v>
      </c>
      <c r="O19">
        <f t="shared" si="1"/>
        <v>0.99566424768958883</v>
      </c>
      <c r="P19">
        <f t="shared" si="1"/>
        <v>0.91783746754479034</v>
      </c>
      <c r="Q19">
        <f t="shared" si="1"/>
        <v>0.90516124036045309</v>
      </c>
      <c r="R19">
        <f t="shared" si="1"/>
        <v>0.86528644829892176</v>
      </c>
      <c r="S19">
        <f t="shared" si="1"/>
        <v>0.83707007781683895</v>
      </c>
      <c r="T19">
        <f t="shared" si="1"/>
        <v>0.76328522989689929</v>
      </c>
      <c r="U19">
        <f t="shared" si="1"/>
        <v>0.6821170436656474</v>
      </c>
      <c r="V19">
        <f t="shared" si="1"/>
        <v>0.59702454986873765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19"/>
  <sheetViews>
    <sheetView workbookViewId="0">
      <selection activeCell="C17" sqref="C17:V17"/>
    </sheetView>
  </sheetViews>
  <sheetFormatPr defaultRowHeight="13.2" x14ac:dyDescent="0.25"/>
  <cols>
    <col min="2" max="2" width="18.109375" customWidth="1"/>
    <col min="3" max="3" width="9.109375" customWidth="1"/>
  </cols>
  <sheetData>
    <row r="1" spans="2:22" x14ac:dyDescent="0.25">
      <c r="B1" t="s">
        <v>18</v>
      </c>
      <c r="C1">
        <f>0.032/6.022/1000</f>
        <v>5.3138492195283959E-6</v>
      </c>
      <c r="D1" t="s">
        <v>21</v>
      </c>
    </row>
    <row r="2" spans="2:22" x14ac:dyDescent="0.25">
      <c r="B2" t="s">
        <v>19</v>
      </c>
      <c r="C2">
        <v>3.64</v>
      </c>
      <c r="D2" t="s">
        <v>20</v>
      </c>
    </row>
    <row r="3" spans="2:22" x14ac:dyDescent="0.25">
      <c r="B3" t="s">
        <v>22</v>
      </c>
      <c r="C3">
        <f>1.38/C1/1000</f>
        <v>259.69874999999996</v>
      </c>
    </row>
    <row r="4" spans="2:22" x14ac:dyDescent="0.25">
      <c r="B4" t="s">
        <v>17</v>
      </c>
      <c r="C4">
        <f>5/16*C1/C2/C2*SQRT(C3*C5/PI())</f>
        <v>1.9736816446243676E-5</v>
      </c>
    </row>
    <row r="5" spans="2:22" x14ac:dyDescent="0.25">
      <c r="B5" t="s">
        <v>23</v>
      </c>
      <c r="C5">
        <v>300</v>
      </c>
    </row>
    <row r="6" spans="2:22" x14ac:dyDescent="0.25">
      <c r="B6" t="s">
        <v>25</v>
      </c>
      <c r="C6">
        <v>2000</v>
      </c>
    </row>
    <row r="7" spans="2:22" x14ac:dyDescent="0.25">
      <c r="B7" t="s">
        <v>27</v>
      </c>
      <c r="C7">
        <v>0.25</v>
      </c>
    </row>
    <row r="8" spans="2:22" x14ac:dyDescent="0.25">
      <c r="B8" t="s">
        <v>28</v>
      </c>
      <c r="C8">
        <v>9000</v>
      </c>
      <c r="D8" t="s">
        <v>20</v>
      </c>
    </row>
    <row r="9" spans="2:22" x14ac:dyDescent="0.25">
      <c r="B9" t="s">
        <v>26</v>
      </c>
      <c r="C9">
        <f>C7/C8*10^15</f>
        <v>27777777777.777779</v>
      </c>
    </row>
    <row r="10" spans="2:22" x14ac:dyDescent="0.25">
      <c r="B10" t="s">
        <v>34</v>
      </c>
      <c r="C10">
        <f>C9/2/C4*C6*C6*10^(-20)</f>
        <v>28.148184742392395</v>
      </c>
    </row>
    <row r="11" spans="2:22" x14ac:dyDescent="0.25">
      <c r="B11" t="s">
        <v>31</v>
      </c>
      <c r="C11">
        <v>2.4900000000000002</v>
      </c>
    </row>
    <row r="12" spans="2:22" x14ac:dyDescent="0.25">
      <c r="B12" t="s">
        <v>32</v>
      </c>
      <c r="C12">
        <f>1/(SQRT(2)*PI()*C2*C2*C11/C1)</f>
        <v>3.6252857356397865E-8</v>
      </c>
    </row>
    <row r="13" spans="2:22" x14ac:dyDescent="0.25">
      <c r="B13" t="s">
        <v>11</v>
      </c>
      <c r="C13">
        <f>C12/C6*10^10</f>
        <v>0.18126428678198933</v>
      </c>
    </row>
    <row r="15" spans="2:22" x14ac:dyDescent="0.25">
      <c r="C15" t="s">
        <v>35</v>
      </c>
    </row>
    <row r="16" spans="2:22" x14ac:dyDescent="0.25">
      <c r="B16" t="s">
        <v>16</v>
      </c>
      <c r="C16">
        <v>13.67420755</v>
      </c>
      <c r="D16">
        <v>13.376405250000001</v>
      </c>
      <c r="E16">
        <v>13.5926039</v>
      </c>
      <c r="F16">
        <v>13.060948450000001</v>
      </c>
      <c r="G16">
        <v>13.302105150000003</v>
      </c>
      <c r="H16">
        <v>13.28653795</v>
      </c>
      <c r="I16">
        <v>13.244401550000001</v>
      </c>
      <c r="J16">
        <v>12.347559900000004</v>
      </c>
      <c r="K16">
        <v>12.292994349999999</v>
      </c>
      <c r="L16">
        <v>11.557925150000001</v>
      </c>
      <c r="M16">
        <v>11.40021235</v>
      </c>
      <c r="N16">
        <v>11.369646000000001</v>
      </c>
      <c r="O16">
        <v>10.804834800000002</v>
      </c>
      <c r="P16">
        <v>10.131326750000003</v>
      </c>
      <c r="Q16">
        <v>9.3815758499999991</v>
      </c>
      <c r="R16">
        <v>8.9769605500000011</v>
      </c>
      <c r="S16">
        <v>8.2012294500000014</v>
      </c>
      <c r="T16">
        <v>7.2398685999999985</v>
      </c>
      <c r="U16">
        <v>6.2874535999999992</v>
      </c>
      <c r="V16">
        <v>5.2497559499999991</v>
      </c>
    </row>
    <row r="17" spans="2:22" x14ac:dyDescent="0.25">
      <c r="B17" t="s">
        <v>24</v>
      </c>
      <c r="C17">
        <f>C16/$C$10</f>
        <v>0.48579358403194101</v>
      </c>
      <c r="D17">
        <f t="shared" ref="D17:V17" si="0">D16/$C$10</f>
        <v>0.47521377923367653</v>
      </c>
      <c r="E17">
        <f t="shared" si="0"/>
        <v>0.48289451076143269</v>
      </c>
      <c r="F17">
        <f t="shared" si="0"/>
        <v>0.4640067759087016</v>
      </c>
      <c r="G17">
        <f t="shared" si="0"/>
        <v>0.47257417384952899</v>
      </c>
      <c r="H17">
        <f t="shared" si="0"/>
        <v>0.47202112930536133</v>
      </c>
      <c r="I17">
        <f t="shared" si="0"/>
        <v>0.47052418019885145</v>
      </c>
      <c r="J17">
        <f t="shared" si="0"/>
        <v>0.43866274194953819</v>
      </c>
      <c r="K17">
        <f t="shared" si="0"/>
        <v>0.43672423150918904</v>
      </c>
      <c r="L17">
        <f t="shared" si="0"/>
        <v>0.41060996493295215</v>
      </c>
      <c r="M17">
        <f t="shared" si="0"/>
        <v>0.40500701748027051</v>
      </c>
      <c r="N17">
        <f t="shared" si="0"/>
        <v>0.40392110908938361</v>
      </c>
      <c r="O17">
        <f t="shared" si="0"/>
        <v>0.38385547412325488</v>
      </c>
      <c r="P17">
        <f t="shared" si="0"/>
        <v>0.35992824555900338</v>
      </c>
      <c r="Q17">
        <f t="shared" si="0"/>
        <v>0.33329239295033247</v>
      </c>
      <c r="R17">
        <f t="shared" si="0"/>
        <v>0.31891792071693725</v>
      </c>
      <c r="S17">
        <f t="shared" si="0"/>
        <v>0.29135908851872044</v>
      </c>
      <c r="T17">
        <f t="shared" si="0"/>
        <v>0.25720552377562167</v>
      </c>
      <c r="U17">
        <f t="shared" si="0"/>
        <v>0.2233697717114532</v>
      </c>
      <c r="V17">
        <f t="shared" si="0"/>
        <v>0.18650424523090603</v>
      </c>
    </row>
    <row r="18" spans="2:22" x14ac:dyDescent="0.25">
      <c r="B18" t="s">
        <v>29</v>
      </c>
      <c r="C18">
        <f>AVERAGE(C16:V16)</f>
        <v>10.938927655000001</v>
      </c>
    </row>
    <row r="19" spans="2:22" x14ac:dyDescent="0.25">
      <c r="B19" t="s">
        <v>30</v>
      </c>
      <c r="C19">
        <f>C16/$C$18</f>
        <v>1.2500500946040858</v>
      </c>
      <c r="D19">
        <f t="shared" ref="D19:V19" si="1">D16/$C$18</f>
        <v>1.2228260092647993</v>
      </c>
      <c r="E19">
        <f t="shared" si="1"/>
        <v>1.2425901631945659</v>
      </c>
      <c r="F19">
        <f t="shared" si="1"/>
        <v>1.193988008873069</v>
      </c>
      <c r="G19">
        <f t="shared" si="1"/>
        <v>1.2160337438487248</v>
      </c>
      <c r="H19">
        <f t="shared" si="1"/>
        <v>1.2146106427467729</v>
      </c>
      <c r="I19">
        <f t="shared" si="1"/>
        <v>1.2107586746810788</v>
      </c>
      <c r="J19">
        <f t="shared" si="1"/>
        <v>1.1287724253625666</v>
      </c>
      <c r="K19">
        <f t="shared" si="1"/>
        <v>1.1237842261787951</v>
      </c>
      <c r="L19">
        <f t="shared" si="1"/>
        <v>1.0565866705149172</v>
      </c>
      <c r="M19">
        <f t="shared" si="1"/>
        <v>1.0421690964186197</v>
      </c>
      <c r="N19">
        <f t="shared" si="1"/>
        <v>1.0393748234364752</v>
      </c>
      <c r="O19">
        <f t="shared" si="1"/>
        <v>0.98774168188792189</v>
      </c>
      <c r="P19">
        <f t="shared" si="1"/>
        <v>0.92617183964729333</v>
      </c>
      <c r="Q19">
        <f t="shared" si="1"/>
        <v>0.85763213231525837</v>
      </c>
      <c r="R19">
        <f t="shared" si="1"/>
        <v>0.8206435615191936</v>
      </c>
      <c r="S19">
        <f t="shared" si="1"/>
        <v>0.74972883162376125</v>
      </c>
      <c r="T19">
        <f t="shared" si="1"/>
        <v>0.66184445389313606</v>
      </c>
      <c r="U19">
        <f t="shared" si="1"/>
        <v>0.57477787570211325</v>
      </c>
      <c r="V19">
        <f t="shared" si="1"/>
        <v>0.47991504428685233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Март 2018</vt:lpstr>
      <vt:lpstr>Summary</vt:lpstr>
      <vt:lpstr>Таблички</vt:lpstr>
      <vt:lpstr>Cercignani Neudachin</vt:lpstr>
      <vt:lpstr>DSMC</vt:lpstr>
      <vt:lpstr>EDMD - low M</vt:lpstr>
      <vt:lpstr>EDMD - low M (2atm)</vt:lpstr>
      <vt:lpstr>EDMD - medium M</vt:lpstr>
      <vt:lpstr>EDMD - medium M (2atm)</vt:lpstr>
      <vt:lpstr>EDMD - low M (0.2atm)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</dc:creator>
  <cp:lastModifiedBy>Art Yakunchikov</cp:lastModifiedBy>
  <cp:lastPrinted>2017-11-05T15:03:23Z</cp:lastPrinted>
  <dcterms:created xsi:type="dcterms:W3CDTF">2007-04-07T11:16:37Z</dcterms:created>
  <dcterms:modified xsi:type="dcterms:W3CDTF">2021-04-25T08:31:58Z</dcterms:modified>
</cp:coreProperties>
</file>