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rojects Folder\"/>
    </mc:Choice>
  </mc:AlternateContent>
  <bookViews>
    <workbookView xWindow="0" yWindow="0" windowWidth="20490" windowHeight="7755" activeTab="1"/>
  </bookViews>
  <sheets>
    <sheet name="DCF Valuation" sheetId="13" r:id="rId1"/>
    <sheet name="Introduction" sheetId="12" r:id="rId2"/>
    <sheet name="P&amp;L" sheetId="6" r:id="rId3"/>
    <sheet name="Balance Statement" sheetId="7" r:id="rId4"/>
    <sheet name="Cashflow" sheetId="8" r:id="rId5"/>
    <sheet name="Equity valuation 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5" l="1"/>
  <c r="B50" i="5" l="1"/>
  <c r="B48" i="5"/>
  <c r="B47" i="5"/>
  <c r="B46" i="5"/>
  <c r="B45" i="5"/>
  <c r="B44" i="5"/>
  <c r="B18" i="5"/>
  <c r="F33" i="7" l="1"/>
  <c r="E33" i="7"/>
  <c r="C22" i="7" l="1"/>
  <c r="D22" i="7"/>
  <c r="E22" i="7" s="1"/>
  <c r="B22" i="7"/>
  <c r="F22" i="7" l="1"/>
  <c r="C14" i="7"/>
  <c r="E12" i="7"/>
  <c r="F12" i="7" s="1"/>
  <c r="G12" i="7" s="1"/>
  <c r="E10" i="7"/>
  <c r="F10" i="7" s="1"/>
  <c r="G10" i="7" s="1"/>
  <c r="E9" i="7"/>
  <c r="F9" i="7" s="1"/>
  <c r="G9" i="7" s="1"/>
  <c r="E7" i="7"/>
  <c r="F7" i="7" s="1"/>
  <c r="G7" i="7" s="1"/>
  <c r="E5" i="7"/>
  <c r="F5" i="7" s="1"/>
  <c r="G5" i="7" s="1"/>
  <c r="E3" i="7"/>
  <c r="E4" i="7"/>
  <c r="F4" i="7" s="1"/>
  <c r="G4" i="7" s="1"/>
  <c r="E3" i="6"/>
  <c r="E19" i="6"/>
  <c r="F19" i="6" s="1"/>
  <c r="G19" i="6" s="1"/>
  <c r="D12" i="6"/>
  <c r="E12" i="6" s="1"/>
  <c r="C12" i="6"/>
  <c r="B12" i="6"/>
  <c r="F3" i="6" l="1"/>
  <c r="E4" i="6"/>
  <c r="F3" i="7"/>
  <c r="G22" i="7"/>
  <c r="E11" i="6"/>
  <c r="E21" i="7" s="1"/>
  <c r="F12" i="6"/>
  <c r="E25" i="8"/>
  <c r="F25" i="8" s="1"/>
  <c r="G25" i="8" s="1"/>
  <c r="G3" i="6" l="1"/>
  <c r="F4" i="6"/>
  <c r="C7" i="5"/>
  <c r="G3" i="7"/>
  <c r="G12" i="6"/>
  <c r="G11" i="6" s="1"/>
  <c r="G21" i="7" s="1"/>
  <c r="F11" i="6"/>
  <c r="F21" i="7" s="1"/>
  <c r="D14" i="7"/>
  <c r="D42" i="7"/>
  <c r="C42" i="7"/>
  <c r="B42" i="7"/>
  <c r="D40" i="7"/>
  <c r="C40" i="7"/>
  <c r="B40" i="7"/>
  <c r="D36" i="7"/>
  <c r="E36" i="7" s="1"/>
  <c r="C36" i="7"/>
  <c r="B36" i="7"/>
  <c r="D34" i="7"/>
  <c r="E34" i="7" s="1"/>
  <c r="C34" i="7"/>
  <c r="B34" i="7"/>
  <c r="D30" i="7"/>
  <c r="C30" i="7"/>
  <c r="B30" i="7"/>
  <c r="D7" i="5" l="1"/>
  <c r="E7" i="5"/>
  <c r="G4" i="6"/>
  <c r="F34" i="7"/>
  <c r="F36" i="7"/>
  <c r="D23" i="8"/>
  <c r="E23" i="8" s="1"/>
  <c r="F23" i="8" s="1"/>
  <c r="G23" i="8" s="1"/>
  <c r="C23" i="8"/>
  <c r="B23" i="8"/>
  <c r="D21" i="8"/>
  <c r="E21" i="8" s="1"/>
  <c r="C21" i="8"/>
  <c r="B21" i="8"/>
  <c r="D19" i="8"/>
  <c r="E19" i="8" s="1"/>
  <c r="F19" i="8" s="1"/>
  <c r="G19" i="8" s="1"/>
  <c r="C19" i="8"/>
  <c r="B19" i="8"/>
  <c r="D16" i="8"/>
  <c r="E16" i="8" s="1"/>
  <c r="C16" i="8"/>
  <c r="B16" i="8"/>
  <c r="D14" i="8"/>
  <c r="E14" i="8" s="1"/>
  <c r="C14" i="8"/>
  <c r="B14" i="8"/>
  <c r="D11" i="8"/>
  <c r="E11" i="8" s="1"/>
  <c r="F11" i="8" s="1"/>
  <c r="G11" i="8" s="1"/>
  <c r="C11" i="8"/>
  <c r="B11" i="8"/>
  <c r="D9" i="8"/>
  <c r="E9" i="8" s="1"/>
  <c r="C9" i="8"/>
  <c r="B9" i="8"/>
  <c r="D7" i="8"/>
  <c r="E7" i="8" s="1"/>
  <c r="C7" i="8"/>
  <c r="B7" i="8"/>
  <c r="D5" i="8"/>
  <c r="E5" i="8" s="1"/>
  <c r="F5" i="8" s="1"/>
  <c r="G5" i="8" s="1"/>
  <c r="C5" i="8"/>
  <c r="B5" i="8"/>
  <c r="D38" i="7"/>
  <c r="E38" i="7" s="1"/>
  <c r="F38" i="7" s="1"/>
  <c r="G38" i="7" s="1"/>
  <c r="C38" i="7"/>
  <c r="B38" i="7"/>
  <c r="D16" i="7"/>
  <c r="E16" i="7" s="1"/>
  <c r="F16" i="7" s="1"/>
  <c r="G16" i="7" s="1"/>
  <c r="C16" i="7"/>
  <c r="B16" i="7"/>
  <c r="D28" i="7"/>
  <c r="E28" i="7" s="1"/>
  <c r="F28" i="7" s="1"/>
  <c r="G28" i="7" s="1"/>
  <c r="C28" i="7"/>
  <c r="B28" i="7"/>
  <c r="D24" i="7"/>
  <c r="E24" i="7" s="1"/>
  <c r="C24" i="7"/>
  <c r="B24" i="7"/>
  <c r="D20" i="7"/>
  <c r="E20" i="7" s="1"/>
  <c r="F20" i="7" s="1"/>
  <c r="G20" i="7" s="1"/>
  <c r="C20" i="7"/>
  <c r="B20" i="7"/>
  <c r="D18" i="7"/>
  <c r="E18" i="7" s="1"/>
  <c r="C18" i="7"/>
  <c r="B18" i="7"/>
  <c r="G24" i="8"/>
  <c r="E24" i="8"/>
  <c r="F24" i="8" s="1"/>
  <c r="E17" i="8"/>
  <c r="F17" i="8" s="1"/>
  <c r="G17" i="8" s="1"/>
  <c r="E12" i="8"/>
  <c r="F12" i="8" s="1"/>
  <c r="G12" i="8" s="1"/>
  <c r="D21" i="6"/>
  <c r="C21" i="6"/>
  <c r="E43" i="7"/>
  <c r="F43" i="7" s="1"/>
  <c r="G43" i="7" s="1"/>
  <c r="E32" i="7"/>
  <c r="F32" i="7" s="1"/>
  <c r="G32" i="7" s="1"/>
  <c r="E31" i="7"/>
  <c r="F31" i="7" s="1"/>
  <c r="G31" i="7" s="1"/>
  <c r="F21" i="8" l="1"/>
  <c r="G26" i="8"/>
  <c r="F7" i="8"/>
  <c r="F16" i="8"/>
  <c r="F9" i="8"/>
  <c r="E26" i="8"/>
  <c r="E6" i="7" s="1"/>
  <c r="F14" i="8"/>
  <c r="F26" i="8"/>
  <c r="G36" i="7"/>
  <c r="F18" i="7"/>
  <c r="G34" i="7"/>
  <c r="F24" i="7"/>
  <c r="D15" i="6"/>
  <c r="C15" i="6"/>
  <c r="B15" i="6"/>
  <c r="D4" i="6"/>
  <c r="D9" i="6"/>
  <c r="E9" i="6" s="1"/>
  <c r="F9" i="6" s="1"/>
  <c r="C9" i="6"/>
  <c r="B9" i="6"/>
  <c r="D14" i="6"/>
  <c r="E14" i="6" s="1"/>
  <c r="C14" i="6"/>
  <c r="B14" i="6"/>
  <c r="D6" i="6"/>
  <c r="E6" i="6" s="1"/>
  <c r="C6" i="6"/>
  <c r="B6" i="6"/>
  <c r="C4" i="6"/>
  <c r="F6" i="7" l="1"/>
  <c r="E13" i="7"/>
  <c r="F14" i="6"/>
  <c r="E13" i="6"/>
  <c r="F6" i="6"/>
  <c r="E5" i="6"/>
  <c r="G9" i="6"/>
  <c r="D17" i="6"/>
  <c r="E17" i="6" s="1"/>
  <c r="D26" i="7"/>
  <c r="E26" i="7" s="1"/>
  <c r="F26" i="7" s="1"/>
  <c r="G26" i="7" s="1"/>
  <c r="G7" i="8"/>
  <c r="G21" i="8"/>
  <c r="C17" i="6"/>
  <c r="C26" i="7"/>
  <c r="G14" i="8"/>
  <c r="B17" i="6"/>
  <c r="B26" i="7"/>
  <c r="G9" i="8"/>
  <c r="G16" i="8"/>
  <c r="G18" i="7"/>
  <c r="G24" i="7"/>
  <c r="B30" i="5"/>
  <c r="E34" i="5" s="1"/>
  <c r="E7" i="6" l="1"/>
  <c r="G6" i="7"/>
  <c r="G13" i="7" s="1"/>
  <c r="G19" i="7" s="1"/>
  <c r="F13" i="7"/>
  <c r="F17" i="6"/>
  <c r="G14" i="6"/>
  <c r="G13" i="6" s="1"/>
  <c r="F13" i="6"/>
  <c r="E8" i="6"/>
  <c r="E10" i="6" s="1"/>
  <c r="E15" i="6" s="1"/>
  <c r="G6" i="6"/>
  <c r="G5" i="6" s="1"/>
  <c r="F5" i="6"/>
  <c r="E14" i="7"/>
  <c r="E19" i="7"/>
  <c r="E35" i="7"/>
  <c r="E23" i="7"/>
  <c r="E37" i="7"/>
  <c r="E27" i="7"/>
  <c r="C34" i="5"/>
  <c r="D34" i="5"/>
  <c r="F7" i="6" l="1"/>
  <c r="C8" i="5"/>
  <c r="G7" i="6"/>
  <c r="G8" i="6" s="1"/>
  <c r="E16" i="6"/>
  <c r="E25" i="7"/>
  <c r="G17" i="6"/>
  <c r="F8" i="6"/>
  <c r="F10" i="6" s="1"/>
  <c r="F15" i="6" s="1"/>
  <c r="F14" i="7"/>
  <c r="F19" i="7"/>
  <c r="E39" i="7"/>
  <c r="E40" i="7" s="1"/>
  <c r="F35" i="7"/>
  <c r="F27" i="7"/>
  <c r="F37" i="7"/>
  <c r="F23" i="7"/>
  <c r="G10" i="6" l="1"/>
  <c r="G15" i="6" s="1"/>
  <c r="E8" i="5"/>
  <c r="E18" i="6"/>
  <c r="C11" i="5"/>
  <c r="D8" i="5"/>
  <c r="G16" i="6"/>
  <c r="G25" i="7"/>
  <c r="F25" i="7"/>
  <c r="F16" i="6"/>
  <c r="G14" i="7"/>
  <c r="F39" i="7"/>
  <c r="F40" i="7" s="1"/>
  <c r="G37" i="7"/>
  <c r="G27" i="7"/>
  <c r="G35" i="7"/>
  <c r="G23" i="7"/>
  <c r="F18" i="6" l="1"/>
  <c r="D11" i="5"/>
  <c r="E20" i="6"/>
  <c r="E3" i="8"/>
  <c r="G18" i="6"/>
  <c r="E11" i="5"/>
  <c r="G39" i="7"/>
  <c r="G40" i="7" s="1"/>
  <c r="E21" i="6" l="1"/>
  <c r="E20" i="8"/>
  <c r="E22" i="8"/>
  <c r="G20" i="6"/>
  <c r="G3" i="8"/>
  <c r="F20" i="6"/>
  <c r="F3" i="8"/>
  <c r="F20" i="8" l="1"/>
  <c r="F22" i="8"/>
  <c r="F21" i="6"/>
  <c r="G21" i="6"/>
  <c r="G20" i="8"/>
  <c r="G22" i="8"/>
  <c r="E17" i="7" l="1"/>
  <c r="E18" i="8"/>
  <c r="E15" i="8"/>
  <c r="E8" i="8"/>
  <c r="E4" i="8"/>
  <c r="E10" i="8"/>
  <c r="C18" i="5" s="1"/>
  <c r="C19" i="5" s="1"/>
  <c r="E6" i="8"/>
  <c r="E13" i="8"/>
  <c r="C17" i="5" s="1"/>
  <c r="E15" i="7"/>
  <c r="E29" i="7" s="1"/>
  <c r="E41" i="7" s="1"/>
  <c r="F13" i="8"/>
  <c r="D17" i="5" s="1"/>
  <c r="C9" i="5" l="1"/>
  <c r="C20" i="5"/>
  <c r="E42" i="7"/>
  <c r="F18" i="8"/>
  <c r="F15" i="8"/>
  <c r="F8" i="8"/>
  <c r="E30" i="7"/>
  <c r="F10" i="8"/>
  <c r="D18" i="5" s="1"/>
  <c r="D19" i="5" s="1"/>
  <c r="D20" i="5" s="1"/>
  <c r="F6" i="8"/>
  <c r="F15" i="7"/>
  <c r="F17" i="7"/>
  <c r="F4" i="8"/>
  <c r="D9" i="5" s="1"/>
  <c r="D13" i="5" l="1"/>
  <c r="D10" i="5"/>
  <c r="D12" i="5" s="1"/>
  <c r="D14" i="5" s="1"/>
  <c r="D23" i="5" s="1"/>
  <c r="D35" i="5" s="1"/>
  <c r="C13" i="5"/>
  <c r="C10" i="5"/>
  <c r="C12" i="5" s="1"/>
  <c r="C14" i="5" s="1"/>
  <c r="C23" i="5" s="1"/>
  <c r="C35" i="5" s="1"/>
  <c r="F29" i="7"/>
  <c r="F30" i="7" s="1"/>
  <c r="G13" i="8"/>
  <c r="E17" i="5" s="1"/>
  <c r="G4" i="8"/>
  <c r="G10" i="8"/>
  <c r="E18" i="5" s="1"/>
  <c r="E19" i="5" s="1"/>
  <c r="G15" i="8"/>
  <c r="G17" i="7"/>
  <c r="G8" i="8"/>
  <c r="G6" i="8"/>
  <c r="G15" i="7"/>
  <c r="G18" i="8"/>
  <c r="E20" i="5" l="1"/>
  <c r="E9" i="5"/>
  <c r="F41" i="7"/>
  <c r="G29" i="7"/>
  <c r="G41" i="7" s="1"/>
  <c r="E13" i="5" l="1"/>
  <c r="E10" i="5"/>
  <c r="E12" i="5" s="1"/>
  <c r="E14" i="5" s="1"/>
  <c r="E23" i="5" s="1"/>
  <c r="F42" i="7"/>
  <c r="G42" i="7"/>
  <c r="G30" i="7"/>
  <c r="E35" i="5" l="1"/>
  <c r="E39" i="5"/>
  <c r="E40" i="5" s="1"/>
  <c r="B43" i="5" l="1"/>
  <c r="B49" i="5" s="1"/>
  <c r="B51" i="5" s="1"/>
  <c r="B53" i="5" s="1"/>
  <c r="B55" i="5" s="1"/>
</calcChain>
</file>

<file path=xl/sharedStrings.xml><?xml version="1.0" encoding="utf-8"?>
<sst xmlns="http://schemas.openxmlformats.org/spreadsheetml/2006/main" count="167" uniqueCount="160">
  <si>
    <t>Title</t>
  </si>
  <si>
    <t>Interest Income, Bank</t>
  </si>
  <si>
    <t>Total Interest Expense</t>
  </si>
  <si>
    <t>Non-Interest Expense, Bank</t>
  </si>
  <si>
    <t>Net Interest Income</t>
  </si>
  <si>
    <t>Loan Loss Provision</t>
  </si>
  <si>
    <t>Net Interest Inc. After Loan Loss Prov.</t>
  </si>
  <si>
    <t>Non-Interest Income, Bank</t>
  </si>
  <si>
    <t>Net Income Before Taxes</t>
  </si>
  <si>
    <t>Provision for Income Taxes</t>
  </si>
  <si>
    <t>Net Income After Taxes</t>
  </si>
  <si>
    <t>Net Income</t>
  </si>
  <si>
    <t>Minority Interest</t>
  </si>
  <si>
    <t>Other Assets, Total</t>
  </si>
  <si>
    <t>Property/Plant/Equipment, Total - Gross</t>
  </si>
  <si>
    <t>Accumulated Depreciation, Total</t>
  </si>
  <si>
    <t>Cash &amp; Due from Banks</t>
  </si>
  <si>
    <t>Other Earning Assets, Total</t>
  </si>
  <si>
    <t>Net Loans</t>
  </si>
  <si>
    <t>Goodwill, Net</t>
  </si>
  <si>
    <t>Intangibles, Net</t>
  </si>
  <si>
    <t>Long Term Investments</t>
  </si>
  <si>
    <t>Other Long Term Assets, Total</t>
  </si>
  <si>
    <t>Total Assets</t>
  </si>
  <si>
    <t>Accounts Payable</t>
  </si>
  <si>
    <t>Accrued Expenses</t>
  </si>
  <si>
    <t>Total Deposits</t>
  </si>
  <si>
    <t>Other Current liabilities, Total</t>
  </si>
  <si>
    <t>Total Debt</t>
  </si>
  <si>
    <t>Deferred Income Tax</t>
  </si>
  <si>
    <t>Other Liabilities, Total</t>
  </si>
  <si>
    <t>Total Liabilities</t>
  </si>
  <si>
    <t>Common Stock, Total</t>
  </si>
  <si>
    <t>Additional Paid-In Capital</t>
  </si>
  <si>
    <t>Retained Earnings (Accumulated Deficit)</t>
  </si>
  <si>
    <t>Unrealized Gain (Loss)</t>
  </si>
  <si>
    <t>Other Equity, Total</t>
  </si>
  <si>
    <t>Total Equity</t>
  </si>
  <si>
    <t>Total Liabilities &amp; Shareholders' Equity</t>
  </si>
  <si>
    <t>Total Common Shares Outstanding</t>
  </si>
  <si>
    <t>Tangible Book Value per Share, Common Eq</t>
  </si>
  <si>
    <t>Net Income/Starting Line</t>
  </si>
  <si>
    <t>Depreciation/Depletion</t>
  </si>
  <si>
    <t>Amortization</t>
  </si>
  <si>
    <t>Non-Cash Items</t>
  </si>
  <si>
    <t>Changes in Working Capital</t>
  </si>
  <si>
    <t>Cash from Operating Activities</t>
  </si>
  <si>
    <t>Capital Expenditures</t>
  </si>
  <si>
    <t>Other Investing Cash Flow Items, Total</t>
  </si>
  <si>
    <t>Cash from Investing Activities</t>
  </si>
  <si>
    <t>Financing Cash Flow Items</t>
  </si>
  <si>
    <t>Total Cash Dividends Paid</t>
  </si>
  <si>
    <t>Issuance (Retirement) of Debt, Net</t>
  </si>
  <si>
    <t>Cash from Financing Activities</t>
  </si>
  <si>
    <t>Foreign Exchange Effects</t>
  </si>
  <si>
    <t>Net Change in Cash</t>
  </si>
  <si>
    <t>Extra.items</t>
  </si>
  <si>
    <t>DISCOUNTED CASH FLOW TECHNIQUE OF VALUATION</t>
  </si>
  <si>
    <t>Free cash flow to firm calculation (FCFF)</t>
  </si>
  <si>
    <t>Operating cash profit calculation</t>
  </si>
  <si>
    <t>Revenues</t>
  </si>
  <si>
    <t>Earnings before interest and tax (EBIT)</t>
  </si>
  <si>
    <t>Less: Operating taxes</t>
  </si>
  <si>
    <t>Post tax operating profit (NOPLAT)</t>
  </si>
  <si>
    <t>Post tax operating cash profit</t>
  </si>
  <si>
    <t>Operating cash investments</t>
  </si>
  <si>
    <t>Capital expenditures investments</t>
  </si>
  <si>
    <t>Working Capital</t>
  </si>
  <si>
    <t>Increase in working capital</t>
  </si>
  <si>
    <t>Free cash flow to firm</t>
  </si>
  <si>
    <t>FCFF</t>
  </si>
  <si>
    <t>Cost of Capital calculation</t>
  </si>
  <si>
    <t>Percent</t>
  </si>
  <si>
    <t>Tax rate</t>
  </si>
  <si>
    <t xml:space="preserve">Cost of debt </t>
  </si>
  <si>
    <t>Bloomberg</t>
  </si>
  <si>
    <t>Cost of equity</t>
  </si>
  <si>
    <t>Target capital structure (debt to capital)</t>
  </si>
  <si>
    <t>WACC (Weighted average cost of capital)</t>
  </si>
  <si>
    <t>Present value of future cash flows</t>
  </si>
  <si>
    <t>Years from current</t>
  </si>
  <si>
    <t>Discount factor</t>
  </si>
  <si>
    <t>Present value of FCFF</t>
  </si>
  <si>
    <t>Terminal value calculation</t>
  </si>
  <si>
    <t>Terminal value</t>
  </si>
  <si>
    <t>Present value of terminal value</t>
  </si>
  <si>
    <t>Share price calculation</t>
  </si>
  <si>
    <t>Less: Short term debt</t>
  </si>
  <si>
    <t>Less: Long term debt</t>
  </si>
  <si>
    <t>Less: Other long term liabilities</t>
  </si>
  <si>
    <t>Add: Cash and cash equivalents</t>
  </si>
  <si>
    <t>Add: Other long term assets</t>
  </si>
  <si>
    <t>Consolidated equity value</t>
  </si>
  <si>
    <t>Less: Market Value of minority interest</t>
  </si>
  <si>
    <t>Margin of safety</t>
  </si>
  <si>
    <t>From 2023 income</t>
  </si>
  <si>
    <t>Terminal growth rate</t>
  </si>
  <si>
    <t>FCMB Group PLC</t>
  </si>
  <si>
    <t>Enterprise value (EV) for FCMB Group PLC</t>
  </si>
  <si>
    <t>FCMB equity value</t>
  </si>
  <si>
    <t>FCMB equity value per share (NGN)</t>
  </si>
  <si>
    <t>FCMB share price at the close of 2023 (NGN)</t>
  </si>
  <si>
    <t>Total Equity/Total Assets in %</t>
  </si>
  <si>
    <t>Total Liabilities &amp; Shareholders' Equity/Total Assets in %</t>
  </si>
  <si>
    <t>Interest Expense/Interest Income (%)</t>
  </si>
  <si>
    <t>Loan loss provision /Interest Income (%)</t>
  </si>
  <si>
    <t>Non-Interest Expense/Non-Interest Income (%)</t>
  </si>
  <si>
    <t>Income Tax/Net Income before tax (%)</t>
  </si>
  <si>
    <t>Growth rate of Net Income</t>
  </si>
  <si>
    <t>HISTORICAL</t>
  </si>
  <si>
    <t>FORECASTED</t>
  </si>
  <si>
    <t>Growth rate of Interest Income (%)</t>
  </si>
  <si>
    <t>Non-Interest Income/Interest Income (%)</t>
  </si>
  <si>
    <t>Growth rate of Total Assets</t>
  </si>
  <si>
    <t>Accounts Payable/(Interest and non interest incomes) in %</t>
  </si>
  <si>
    <t>Total Deposits/Total Assets</t>
  </si>
  <si>
    <t>Current Liabilities/(Interest and non interest incomes) in %</t>
  </si>
  <si>
    <t>Deferred Income Tax/Net Income before Tax in %</t>
  </si>
  <si>
    <t>Other Liabilities, Total/Total Assets in %</t>
  </si>
  <si>
    <t>Total Liabilities/Total Assets in %</t>
  </si>
  <si>
    <t>DD/(Interest +Non interest Income in %)</t>
  </si>
  <si>
    <t>Amortization/(Interest +Non interest Income in %)</t>
  </si>
  <si>
    <t>Non-cash item/(Interest +Non interest Income in %)</t>
  </si>
  <si>
    <t>Working Capital/(Interest +Non interest Income in %)</t>
  </si>
  <si>
    <t>Capital Expenditure/(Interest +Non interest Income in %)</t>
  </si>
  <si>
    <t>Financing  Cashflow Items/(Interest +Non interest Income in %)</t>
  </si>
  <si>
    <t>Total Cash Dividends Paid/Net Income</t>
  </si>
  <si>
    <t xml:space="preserve"> investing Cashflow Item/(Interest +Non interest Income in %)</t>
  </si>
  <si>
    <t>Issuance of Debt(Retirement)/Net Income</t>
  </si>
  <si>
    <t>Less: Depreciation and Amortization</t>
  </si>
  <si>
    <t>Add: Depreciation and Amortization</t>
  </si>
  <si>
    <t>Less: Interest , Non interest Expenses and Loan Losses</t>
  </si>
  <si>
    <t>Accrued Expenses/(Interest and non interest incomes) in %</t>
  </si>
  <si>
    <t>Total Debt/Total Assets</t>
  </si>
  <si>
    <t>Common shares outstanding (Mn)</t>
  </si>
  <si>
    <t>FCMB Shares is Undervalued</t>
  </si>
  <si>
    <t>First forecast year</t>
  </si>
  <si>
    <t>Currency</t>
  </si>
  <si>
    <t>Reporting units</t>
  </si>
  <si>
    <t>Domestic country</t>
  </si>
  <si>
    <t>FCMB  Group PLC</t>
  </si>
  <si>
    <t>Company</t>
  </si>
  <si>
    <t>Year</t>
  </si>
  <si>
    <t>Naira</t>
  </si>
  <si>
    <t>Nigeria</t>
  </si>
  <si>
    <t>2021-2023</t>
  </si>
  <si>
    <t>Historical Financial data Years</t>
  </si>
  <si>
    <t>Forcasted Years</t>
  </si>
  <si>
    <t>Method of Forcast</t>
  </si>
  <si>
    <t>Linear Equation models</t>
  </si>
  <si>
    <t>Result of Valuation</t>
  </si>
  <si>
    <t>FCMB Share price is highly Undervalued</t>
  </si>
  <si>
    <t>DCF VALUATION OF FCMB GROUP PLC</t>
  </si>
  <si>
    <t>BY</t>
  </si>
  <si>
    <t>EZEJI EMMANUEL IFEANYI</t>
  </si>
  <si>
    <t>tax</t>
  </si>
  <si>
    <t>2024-2026</t>
  </si>
  <si>
    <t>Common Shares outstanding</t>
  </si>
  <si>
    <t>FCMB  Group PLC share price</t>
  </si>
  <si>
    <t>000000s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</si>
</sst>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"/>
    <numFmt numFmtId="167" formatCode="[$-409]d\-mmm\-yy;@"/>
    <numFmt numFmtId="168" formatCode="#,##0;\(#,##0\);\-"/>
    <numFmt numFmtId="169" formatCode="#,##0.0;\(#,##0.0\);\-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44444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rgb="FF0000FF"/>
      <name val="Arial"/>
      <family val="2"/>
    </font>
    <font>
      <sz val="12"/>
      <color theme="5" tint="-0.249977111117893"/>
      <name val="Calibri"/>
      <family val="2"/>
      <scheme val="minor"/>
    </font>
    <font>
      <sz val="13"/>
      <color theme="4" tint="-0.499984740745262"/>
      <name val="Calibri"/>
      <family val="2"/>
      <scheme val="minor"/>
    </font>
    <font>
      <b/>
      <sz val="13"/>
      <color theme="4" tint="-0.49998474074526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26"/>
      <color theme="4" tint="-0.499984740745262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0"/>
      <name val="Calibri"/>
      <family val="2"/>
    </font>
    <font>
      <b/>
      <sz val="12"/>
      <color rgb="FF00B050"/>
      <name val="Calibri"/>
      <family val="2"/>
    </font>
    <font>
      <b/>
      <sz val="13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rgb="FFE5E5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15" fillId="3" borderId="0"/>
    <xf numFmtId="9" fontId="15" fillId="3" borderId="0"/>
  </cellStyleXfs>
  <cellXfs count="126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1" applyNumberFormat="1" applyFont="1"/>
    <xf numFmtId="0" fontId="4" fillId="0" borderId="0" xfId="0" applyFont="1"/>
    <xf numFmtId="43" fontId="4" fillId="0" borderId="0" xfId="1" applyFont="1"/>
    <xf numFmtId="43" fontId="4" fillId="0" borderId="0" xfId="0" applyNumberFormat="1" applyFont="1"/>
    <xf numFmtId="0" fontId="5" fillId="0" borderId="0" xfId="0" applyFont="1"/>
    <xf numFmtId="43" fontId="5" fillId="0" borderId="0" xfId="0" applyNumberFormat="1" applyFont="1"/>
    <xf numFmtId="2" fontId="5" fillId="0" borderId="0" xfId="2" applyNumberFormat="1" applyFont="1"/>
    <xf numFmtId="164" fontId="2" fillId="0" borderId="0" xfId="0" applyNumberFormat="1" applyFont="1"/>
    <xf numFmtId="0" fontId="6" fillId="0" borderId="0" xfId="0" applyFont="1"/>
    <xf numFmtId="164" fontId="6" fillId="0" borderId="0" xfId="0" applyNumberFormat="1" applyFont="1"/>
    <xf numFmtId="9" fontId="2" fillId="0" borderId="0" xfId="2" applyFont="1"/>
    <xf numFmtId="0" fontId="8" fillId="0" borderId="0" xfId="0" applyFont="1"/>
    <xf numFmtId="0" fontId="3" fillId="0" borderId="6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9" fillId="5" borderId="7" xfId="0" applyFont="1" applyFill="1" applyBorder="1"/>
    <xf numFmtId="0" fontId="9" fillId="5" borderId="0" xfId="0" applyFont="1" applyFill="1"/>
    <xf numFmtId="0" fontId="7" fillId="4" borderId="7" xfId="0" applyFont="1" applyFill="1" applyBorder="1"/>
    <xf numFmtId="167" fontId="7" fillId="4" borderId="7" xfId="0" applyNumberFormat="1" applyFont="1" applyFill="1" applyBorder="1"/>
    <xf numFmtId="0" fontId="7" fillId="4" borderId="0" xfId="0" applyFont="1" applyFill="1"/>
    <xf numFmtId="0" fontId="12" fillId="3" borderId="7" xfId="0" applyFont="1" applyFill="1" applyBorder="1"/>
    <xf numFmtId="164" fontId="12" fillId="3" borderId="7" xfId="1" applyNumberFormat="1" applyFont="1" applyFill="1" applyBorder="1"/>
    <xf numFmtId="0" fontId="13" fillId="3" borderId="7" xfId="0" applyFont="1" applyFill="1" applyBorder="1"/>
    <xf numFmtId="164" fontId="0" fillId="0" borderId="0" xfId="0" applyNumberFormat="1" applyFont="1"/>
    <xf numFmtId="164" fontId="13" fillId="3" borderId="7" xfId="1" applyNumberFormat="1" applyFont="1" applyFill="1" applyBorder="1"/>
    <xf numFmtId="0" fontId="14" fillId="0" borderId="0" xfId="0" applyFont="1"/>
    <xf numFmtId="0" fontId="13" fillId="0" borderId="7" xfId="0" applyFont="1" applyBorder="1"/>
    <xf numFmtId="164" fontId="13" fillId="0" borderId="7" xfId="1" applyNumberFormat="1" applyFont="1" applyBorder="1" applyAlignment="1">
      <alignment horizontal="right"/>
    </xf>
    <xf numFmtId="1" fontId="13" fillId="0" borderId="7" xfId="0" applyNumberFormat="1" applyFont="1" applyBorder="1" applyAlignment="1">
      <alignment horizontal="right"/>
    </xf>
    <xf numFmtId="3" fontId="13" fillId="0" borderId="7" xfId="1" applyNumberFormat="1" applyFont="1" applyBorder="1" applyAlignment="1">
      <alignment horizontal="right"/>
    </xf>
    <xf numFmtId="0" fontId="12" fillId="0" borderId="7" xfId="0" applyFont="1" applyBorder="1"/>
    <xf numFmtId="164" fontId="12" fillId="0" borderId="7" xfId="1" applyNumberFormat="1" applyFont="1" applyBorder="1" applyAlignment="1">
      <alignment horizontal="right"/>
    </xf>
    <xf numFmtId="3" fontId="12" fillId="0" borderId="7" xfId="1" applyNumberFormat="1" applyFont="1" applyBorder="1" applyAlignment="1">
      <alignment horizontal="right"/>
    </xf>
    <xf numFmtId="0" fontId="9" fillId="0" borderId="0" xfId="0" applyFont="1"/>
    <xf numFmtId="0" fontId="0" fillId="3" borderId="0" xfId="0" applyFont="1" applyFill="1"/>
    <xf numFmtId="0" fontId="10" fillId="3" borderId="0" xfId="0" applyFont="1" applyFill="1"/>
    <xf numFmtId="0" fontId="13" fillId="3" borderId="0" xfId="0" applyFont="1" applyFill="1"/>
    <xf numFmtId="0" fontId="16" fillId="0" borderId="7" xfId="0" applyFont="1" applyBorder="1"/>
    <xf numFmtId="165" fontId="16" fillId="0" borderId="7" xfId="2" applyNumberFormat="1" applyFont="1" applyBorder="1" applyAlignment="1">
      <alignment horizontal="right"/>
    </xf>
    <xf numFmtId="9" fontId="16" fillId="0" borderId="7" xfId="2" applyFont="1" applyBorder="1" applyAlignment="1">
      <alignment horizontal="right"/>
    </xf>
    <xf numFmtId="0" fontId="16" fillId="3" borderId="7" xfId="0" applyFont="1" applyFill="1" applyBorder="1"/>
    <xf numFmtId="9" fontId="16" fillId="3" borderId="7" xfId="2" applyFont="1" applyFill="1" applyBorder="1"/>
    <xf numFmtId="9" fontId="16" fillId="3" borderId="7" xfId="0" applyNumberFormat="1" applyFont="1" applyFill="1" applyBorder="1"/>
    <xf numFmtId="0" fontId="17" fillId="3" borderId="0" xfId="0" applyFont="1" applyFill="1"/>
    <xf numFmtId="168" fontId="17" fillId="3" borderId="0" xfId="3" applyFont="1" applyAlignment="1">
      <alignment horizontal="right"/>
    </xf>
    <xf numFmtId="164" fontId="17" fillId="3" borderId="0" xfId="1" applyNumberFormat="1" applyFont="1" applyFill="1" applyAlignment="1">
      <alignment horizontal="right"/>
    </xf>
    <xf numFmtId="169" fontId="17" fillId="3" borderId="0" xfId="3" applyNumberFormat="1" applyFont="1" applyAlignment="1">
      <alignment horizontal="right"/>
    </xf>
    <xf numFmtId="0" fontId="17" fillId="3" borderId="0" xfId="0" applyFont="1" applyFill="1" applyAlignment="1">
      <alignment horizontal="right"/>
    </xf>
    <xf numFmtId="9" fontId="17" fillId="3" borderId="0" xfId="4" applyFont="1" applyAlignment="1">
      <alignment horizontal="right"/>
    </xf>
    <xf numFmtId="0" fontId="11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43" fontId="13" fillId="3" borderId="7" xfId="1" applyFont="1" applyFill="1" applyBorder="1"/>
    <xf numFmtId="1" fontId="13" fillId="3" borderId="7" xfId="1" applyNumberFormat="1" applyFont="1" applyFill="1" applyBorder="1"/>
    <xf numFmtId="1" fontId="13" fillId="3" borderId="7" xfId="1" applyNumberFormat="1" applyFont="1" applyFill="1" applyBorder="1" applyAlignment="1">
      <alignment horizontal="right"/>
    </xf>
    <xf numFmtId="164" fontId="16" fillId="3" borderId="7" xfId="1" applyNumberFormat="1" applyFont="1" applyFill="1" applyBorder="1"/>
    <xf numFmtId="165" fontId="16" fillId="3" borderId="7" xfId="2" applyNumberFormat="1" applyFont="1" applyFill="1" applyBorder="1"/>
    <xf numFmtId="165" fontId="16" fillId="3" borderId="7" xfId="0" applyNumberFormat="1" applyFont="1" applyFill="1" applyBorder="1"/>
    <xf numFmtId="165" fontId="13" fillId="3" borderId="7" xfId="2" applyNumberFormat="1" applyFont="1" applyFill="1" applyBorder="1"/>
    <xf numFmtId="164" fontId="13" fillId="3" borderId="7" xfId="0" applyNumberFormat="1" applyFont="1" applyFill="1" applyBorder="1"/>
    <xf numFmtId="164" fontId="12" fillId="3" borderId="7" xfId="0" applyNumberFormat="1" applyFont="1" applyFill="1" applyBorder="1"/>
    <xf numFmtId="167" fontId="23" fillId="4" borderId="7" xfId="0" applyNumberFormat="1" applyFont="1" applyFill="1" applyBorder="1"/>
    <xf numFmtId="0" fontId="12" fillId="0" borderId="0" xfId="0" applyFont="1" applyFill="1" applyAlignment="1">
      <alignment horizontal="left"/>
    </xf>
    <xf numFmtId="0" fontId="23" fillId="0" borderId="0" xfId="0" applyFont="1" applyFill="1" applyAlignment="1">
      <alignment horizontal="center"/>
    </xf>
    <xf numFmtId="0" fontId="23" fillId="6" borderId="0" xfId="0" applyFont="1" applyFill="1" applyAlignment="1">
      <alignment horizontal="left"/>
    </xf>
    <xf numFmtId="0" fontId="13" fillId="0" borderId="1" xfId="0" applyFont="1" applyBorder="1"/>
    <xf numFmtId="1" fontId="13" fillId="0" borderId="0" xfId="0" applyNumberFormat="1" applyFont="1" applyFill="1" applyAlignment="1">
      <alignment horizontal="center"/>
    </xf>
    <xf numFmtId="164" fontId="13" fillId="2" borderId="0" xfId="1" applyNumberFormat="1" applyFont="1" applyFill="1" applyAlignment="1">
      <alignment horizontal="center" vertical="center"/>
    </xf>
    <xf numFmtId="0" fontId="13" fillId="0" borderId="2" xfId="0" applyFont="1" applyBorder="1"/>
    <xf numFmtId="1" fontId="13" fillId="0" borderId="3" xfId="0" applyNumberFormat="1" applyFont="1" applyFill="1" applyBorder="1" applyAlignment="1">
      <alignment horizontal="center"/>
    </xf>
    <xf numFmtId="164" fontId="13" fillId="2" borderId="3" xfId="1" applyNumberFormat="1" applyFont="1" applyFill="1" applyBorder="1" applyAlignment="1">
      <alignment horizontal="center" vertical="center"/>
    </xf>
    <xf numFmtId="0" fontId="12" fillId="0" borderId="1" xfId="0" applyFont="1" applyBorder="1"/>
    <xf numFmtId="1" fontId="12" fillId="0" borderId="0" xfId="0" applyNumberFormat="1" applyFont="1" applyFill="1" applyAlignment="1">
      <alignment horizontal="center"/>
    </xf>
    <xf numFmtId="164" fontId="12" fillId="2" borderId="0" xfId="1" applyNumberFormat="1" applyFont="1" applyFill="1" applyAlignment="1">
      <alignment horizontal="center"/>
    </xf>
    <xf numFmtId="164" fontId="13" fillId="2" borderId="3" xfId="1" applyNumberFormat="1" applyFont="1" applyFill="1" applyBorder="1" applyAlignment="1">
      <alignment horizontal="center"/>
    </xf>
    <xf numFmtId="0" fontId="12" fillId="0" borderId="4" xfId="0" applyFont="1" applyBorder="1"/>
    <xf numFmtId="1" fontId="12" fillId="0" borderId="5" xfId="0" applyNumberFormat="1" applyFont="1" applyFill="1" applyBorder="1" applyAlignment="1">
      <alignment horizontal="center"/>
    </xf>
    <xf numFmtId="164" fontId="12" fillId="2" borderId="5" xfId="1" applyNumberFormat="1" applyFont="1" applyFill="1" applyBorder="1" applyAlignment="1">
      <alignment horizontal="center"/>
    </xf>
    <xf numFmtId="0" fontId="13" fillId="0" borderId="0" xfId="0" applyFont="1"/>
    <xf numFmtId="164" fontId="13" fillId="0" borderId="0" xfId="1" applyNumberFormat="1" applyFont="1"/>
    <xf numFmtId="0" fontId="24" fillId="6" borderId="0" xfId="0" applyFont="1" applyFill="1" applyAlignment="1">
      <alignment horizontal="center" vertical="center" wrapText="1"/>
    </xf>
    <xf numFmtId="0" fontId="24" fillId="6" borderId="0" xfId="0" applyNumberFormat="1" applyFont="1" applyFill="1" applyAlignment="1">
      <alignment horizontal="center" vertical="center" wrapText="1"/>
    </xf>
    <xf numFmtId="164" fontId="13" fillId="2" borderId="0" xfId="1" applyNumberFormat="1" applyFont="1" applyFill="1" applyAlignment="1">
      <alignment horizontal="center"/>
    </xf>
    <xf numFmtId="0" fontId="13" fillId="0" borderId="1" xfId="0" quotePrefix="1" applyFont="1" applyFill="1" applyBorder="1"/>
    <xf numFmtId="164" fontId="13" fillId="0" borderId="3" xfId="1" applyNumberFormat="1" applyFont="1" applyFill="1" applyBorder="1"/>
    <xf numFmtId="0" fontId="25" fillId="0" borderId="5" xfId="0" applyFont="1" applyFill="1" applyBorder="1"/>
    <xf numFmtId="0" fontId="23" fillId="6" borderId="1" xfId="0" applyFont="1" applyFill="1" applyBorder="1" applyAlignment="1">
      <alignment horizontal="left"/>
    </xf>
    <xf numFmtId="0" fontId="12" fillId="0" borderId="5" xfId="0" applyFont="1" applyFill="1" applyBorder="1"/>
    <xf numFmtId="0" fontId="23" fillId="6" borderId="0" xfId="0" applyFont="1" applyFill="1" applyAlignment="1">
      <alignment horizontal="center"/>
    </xf>
    <xf numFmtId="9" fontId="13" fillId="0" borderId="0" xfId="0" applyNumberFormat="1" applyFont="1" applyFill="1" applyAlignment="1">
      <alignment horizontal="center"/>
    </xf>
    <xf numFmtId="9" fontId="13" fillId="0" borderId="0" xfId="0" applyNumberFormat="1" applyFont="1"/>
    <xf numFmtId="165" fontId="12" fillId="2" borderId="5" xfId="0" applyNumberFormat="1" applyFont="1" applyFill="1" applyBorder="1" applyAlignment="1">
      <alignment horizontal="center"/>
    </xf>
    <xf numFmtId="0" fontId="13" fillId="0" borderId="0" xfId="0" applyFont="1" applyFill="1"/>
    <xf numFmtId="1" fontId="13" fillId="2" borderId="0" xfId="0" applyNumberFormat="1" applyFont="1" applyFill="1" applyAlignment="1">
      <alignment horizontal="center"/>
    </xf>
    <xf numFmtId="0" fontId="13" fillId="0" borderId="3" xfId="0" applyFont="1" applyFill="1" applyBorder="1"/>
    <xf numFmtId="2" fontId="13" fillId="2" borderId="3" xfId="0" applyNumberFormat="1" applyFont="1" applyFill="1" applyBorder="1" applyAlignment="1">
      <alignment horizontal="center"/>
    </xf>
    <xf numFmtId="0" fontId="13" fillId="0" borderId="5" xfId="0" applyFont="1" applyFill="1" applyBorder="1"/>
    <xf numFmtId="165" fontId="13" fillId="0" borderId="0" xfId="2" applyNumberFormat="1" applyFont="1"/>
    <xf numFmtId="0" fontId="12" fillId="0" borderId="0" xfId="0" applyFont="1"/>
    <xf numFmtId="164" fontId="12" fillId="0" borderId="0" xfId="1" applyNumberFormat="1" applyFont="1"/>
    <xf numFmtId="164" fontId="26" fillId="2" borderId="0" xfId="1" applyNumberFormat="1" applyFont="1" applyFill="1" applyAlignment="1"/>
    <xf numFmtId="164" fontId="26" fillId="2" borderId="3" xfId="1" applyNumberFormat="1" applyFont="1" applyFill="1" applyBorder="1" applyAlignment="1"/>
    <xf numFmtId="0" fontId="12" fillId="0" borderId="1" xfId="0" applyFont="1" applyFill="1" applyBorder="1"/>
    <xf numFmtId="164" fontId="12" fillId="2" borderId="0" xfId="1" applyNumberFormat="1" applyFont="1" applyFill="1" applyAlignment="1"/>
    <xf numFmtId="0" fontId="13" fillId="0" borderId="2" xfId="0" applyFont="1" applyFill="1" applyBorder="1"/>
    <xf numFmtId="164" fontId="13" fillId="2" borderId="3" xfId="0" applyNumberFormat="1" applyFont="1" applyFill="1" applyBorder="1" applyAlignment="1"/>
    <xf numFmtId="164" fontId="13" fillId="2" borderId="3" xfId="1" applyNumberFormat="1" applyFont="1" applyFill="1" applyBorder="1" applyAlignment="1"/>
    <xf numFmtId="166" fontId="12" fillId="2" borderId="0" xfId="0" applyNumberFormat="1" applyFont="1" applyFill="1" applyAlignment="1"/>
    <xf numFmtId="0" fontId="13" fillId="2" borderId="3" xfId="0" applyFont="1" applyFill="1" applyBorder="1" applyAlignment="1"/>
    <xf numFmtId="10" fontId="12" fillId="2" borderId="0" xfId="1" applyNumberFormat="1" applyFont="1" applyFill="1" applyAlignment="1"/>
    <xf numFmtId="0" fontId="19" fillId="0" borderId="1" xfId="0" applyFont="1" applyFill="1" applyBorder="1"/>
    <xf numFmtId="0" fontId="18" fillId="0" borderId="0" xfId="0" applyFont="1" applyBorder="1"/>
    <xf numFmtId="0" fontId="18" fillId="0" borderId="0" xfId="0" applyFont="1" applyBorder="1" applyAlignment="1">
      <alignment horizontal="right"/>
    </xf>
    <xf numFmtId="0" fontId="14" fillId="0" borderId="0" xfId="0" applyFont="1" applyBorder="1"/>
    <xf numFmtId="0" fontId="27" fillId="5" borderId="0" xfId="0" applyFont="1" applyFill="1"/>
    <xf numFmtId="0" fontId="28" fillId="5" borderId="0" xfId="0" applyFont="1" applyFill="1"/>
    <xf numFmtId="168" fontId="29" fillId="5" borderId="0" xfId="3" applyFont="1" applyFill="1" applyAlignment="1">
      <alignment horizontal="right"/>
    </xf>
    <xf numFmtId="167" fontId="30" fillId="4" borderId="7" xfId="0" applyNumberFormat="1" applyFont="1" applyFill="1" applyBorder="1"/>
    <xf numFmtId="167" fontId="31" fillId="4" borderId="7" xfId="0" applyNumberFormat="1" applyFont="1" applyFill="1" applyBorder="1"/>
    <xf numFmtId="167" fontId="32" fillId="6" borderId="0" xfId="0" applyNumberFormat="1" applyFont="1" applyFill="1" applyAlignment="1">
      <alignment horizontal="center" vertical="center" wrapText="1"/>
    </xf>
    <xf numFmtId="167" fontId="33" fillId="6" borderId="0" xfId="0" applyNumberFormat="1" applyFont="1" applyFill="1" applyAlignment="1">
      <alignment horizontal="center" vertical="center" wrapText="1"/>
    </xf>
    <xf numFmtId="0" fontId="7" fillId="5" borderId="7" xfId="0" applyFont="1" applyFill="1" applyBorder="1" applyAlignment="1">
      <alignment horizontal="center"/>
    </xf>
    <xf numFmtId="0" fontId="34" fillId="3" borderId="0" xfId="0" applyFont="1" applyFill="1" applyAlignment="1">
      <alignment horizontal="right"/>
    </xf>
  </cellXfs>
  <cellStyles count="5">
    <cellStyle name="Comma" xfId="1" builtinId="3"/>
    <cellStyle name="Hard input" xfId="3"/>
    <cellStyle name="Hard input %" xf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10"/>
  <sheetViews>
    <sheetView showGridLines="0" workbookViewId="0">
      <selection activeCell="H16" sqref="H16"/>
    </sheetView>
  </sheetViews>
  <sheetFormatPr defaultRowHeight="15" x14ac:dyDescent="0.25"/>
  <sheetData>
    <row r="7" spans="1:10" ht="50.25" customHeight="1" x14ac:dyDescent="0.25"/>
    <row r="8" spans="1:10" ht="24.75" customHeight="1" x14ac:dyDescent="0.5">
      <c r="A8" s="53" t="s">
        <v>152</v>
      </c>
      <c r="B8" s="53"/>
      <c r="C8" s="53"/>
      <c r="D8" s="53"/>
      <c r="E8" s="53"/>
      <c r="F8" s="53"/>
      <c r="G8" s="53"/>
      <c r="H8" s="53"/>
      <c r="I8" s="51"/>
      <c r="J8" s="51"/>
    </row>
    <row r="9" spans="1:10" ht="24.75" customHeight="1" x14ac:dyDescent="0.3">
      <c r="A9" s="52" t="s">
        <v>153</v>
      </c>
      <c r="B9" s="51"/>
      <c r="C9" s="51"/>
      <c r="D9" s="51"/>
      <c r="E9" s="51"/>
      <c r="F9" s="51"/>
      <c r="G9" s="51"/>
      <c r="H9" s="51"/>
      <c r="I9" s="51"/>
      <c r="J9" s="51"/>
    </row>
    <row r="10" spans="1:10" ht="36" customHeight="1" x14ac:dyDescent="0.5">
      <c r="A10" s="53" t="s">
        <v>154</v>
      </c>
      <c r="B10" s="53"/>
      <c r="C10" s="53"/>
      <c r="D10" s="54"/>
      <c r="E10" s="54"/>
      <c r="F10" s="5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GridLines="0" tabSelected="1" workbookViewId="0">
      <selection activeCell="C10" sqref="C10"/>
    </sheetView>
  </sheetViews>
  <sheetFormatPr defaultRowHeight="15" x14ac:dyDescent="0.25"/>
  <cols>
    <col min="1" max="1" width="9.140625" customWidth="1"/>
    <col min="2" max="2" width="50.7109375" customWidth="1"/>
    <col min="3" max="3" width="44.42578125" customWidth="1"/>
    <col min="4" max="4" width="20.42578125" customWidth="1"/>
  </cols>
  <sheetData>
    <row r="1" spans="1:6" s="18" customFormat="1" ht="24" customHeight="1" x14ac:dyDescent="0.3">
      <c r="A1" s="117"/>
      <c r="B1" s="118" t="s">
        <v>141</v>
      </c>
      <c r="C1" s="119" t="s">
        <v>140</v>
      </c>
    </row>
    <row r="2" spans="1:6" ht="17.25" x14ac:dyDescent="0.3">
      <c r="A2" s="38"/>
      <c r="B2" s="45" t="s">
        <v>142</v>
      </c>
      <c r="C2" s="47">
        <v>2023</v>
      </c>
      <c r="D2" s="36"/>
      <c r="E2" s="1"/>
      <c r="F2" s="1"/>
    </row>
    <row r="3" spans="1:6" ht="17.25" x14ac:dyDescent="0.3">
      <c r="A3" s="38"/>
      <c r="B3" s="45" t="s">
        <v>158</v>
      </c>
      <c r="C3" s="48">
        <v>7.4</v>
      </c>
      <c r="D3" s="36"/>
      <c r="E3" s="1"/>
      <c r="F3" s="1"/>
    </row>
    <row r="4" spans="1:6" ht="17.25" x14ac:dyDescent="0.3">
      <c r="A4" s="38"/>
      <c r="B4" s="45" t="s">
        <v>157</v>
      </c>
      <c r="C4" s="46">
        <v>19800000</v>
      </c>
      <c r="D4" s="36"/>
      <c r="E4" s="1"/>
      <c r="F4" s="1"/>
    </row>
    <row r="5" spans="1:6" ht="17.25" x14ac:dyDescent="0.3">
      <c r="A5" s="38"/>
      <c r="B5" s="45" t="s">
        <v>136</v>
      </c>
      <c r="C5" s="49">
        <v>2024</v>
      </c>
      <c r="D5" s="36"/>
      <c r="E5" s="1"/>
      <c r="F5" s="1"/>
    </row>
    <row r="6" spans="1:6" ht="17.25" x14ac:dyDescent="0.3">
      <c r="A6" s="38"/>
      <c r="B6" s="45" t="s">
        <v>137</v>
      </c>
      <c r="C6" s="49" t="s">
        <v>143</v>
      </c>
      <c r="D6" s="36"/>
      <c r="E6" s="1"/>
      <c r="F6" s="1"/>
    </row>
    <row r="7" spans="1:6" ht="17.25" x14ac:dyDescent="0.3">
      <c r="A7" s="38"/>
      <c r="B7" s="45" t="s">
        <v>138</v>
      </c>
      <c r="C7" s="49" t="s">
        <v>159</v>
      </c>
      <c r="D7" s="36"/>
      <c r="E7" s="1"/>
      <c r="F7" s="1"/>
    </row>
    <row r="8" spans="1:6" ht="17.25" x14ac:dyDescent="0.3">
      <c r="A8" s="38"/>
      <c r="B8" s="45" t="s">
        <v>139</v>
      </c>
      <c r="C8" s="49" t="s">
        <v>144</v>
      </c>
      <c r="D8" s="36"/>
      <c r="E8" s="1"/>
      <c r="F8" s="1"/>
    </row>
    <row r="9" spans="1:6" ht="17.25" x14ac:dyDescent="0.3">
      <c r="A9" s="38"/>
      <c r="B9" s="45" t="s">
        <v>146</v>
      </c>
      <c r="C9" s="50" t="s">
        <v>145</v>
      </c>
      <c r="D9" s="36"/>
      <c r="E9" s="1"/>
      <c r="F9" s="1"/>
    </row>
    <row r="10" spans="1:6" ht="17.25" x14ac:dyDescent="0.3">
      <c r="A10" s="38"/>
      <c r="B10" s="45" t="s">
        <v>147</v>
      </c>
      <c r="C10" s="125" t="s">
        <v>156</v>
      </c>
      <c r="D10" s="36"/>
      <c r="E10" s="1"/>
      <c r="F10" s="1"/>
    </row>
    <row r="11" spans="1:6" ht="17.25" x14ac:dyDescent="0.3">
      <c r="A11" s="38"/>
      <c r="B11" s="45" t="s">
        <v>148</v>
      </c>
      <c r="C11" s="49" t="s">
        <v>149</v>
      </c>
      <c r="D11" s="37"/>
      <c r="E11" s="1"/>
      <c r="F11" s="1"/>
    </row>
    <row r="12" spans="1:6" ht="18.75" x14ac:dyDescent="0.3">
      <c r="A12" s="27"/>
      <c r="B12" s="114" t="s">
        <v>150</v>
      </c>
      <c r="C12" s="115" t="s">
        <v>151</v>
      </c>
    </row>
    <row r="13" spans="1:6" ht="18.75" x14ac:dyDescent="0.3">
      <c r="A13" s="27"/>
      <c r="B13" s="116"/>
      <c r="C13" s="1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E2" sqref="E2:G2"/>
    </sheetView>
  </sheetViews>
  <sheetFormatPr defaultRowHeight="15" x14ac:dyDescent="0.25"/>
  <cols>
    <col min="1" max="1" width="42.7109375" customWidth="1"/>
    <col min="2" max="2" width="12.5703125" customWidth="1"/>
    <col min="3" max="3" width="13.42578125" customWidth="1"/>
    <col min="4" max="4" width="12.7109375" customWidth="1"/>
    <col min="5" max="5" width="11.28515625" customWidth="1"/>
    <col min="6" max="6" width="11.5703125" customWidth="1"/>
    <col min="7" max="7" width="11.7109375" customWidth="1"/>
  </cols>
  <sheetData>
    <row r="1" spans="1:11" s="18" customFormat="1" ht="30.75" customHeight="1" x14ac:dyDescent="0.25">
      <c r="A1" s="17"/>
      <c r="B1" s="124" t="s">
        <v>109</v>
      </c>
      <c r="C1" s="124"/>
      <c r="D1" s="124"/>
      <c r="E1" s="124" t="s">
        <v>110</v>
      </c>
      <c r="F1" s="124"/>
      <c r="G1" s="124"/>
    </row>
    <row r="2" spans="1:11" s="21" customFormat="1" ht="20.25" customHeight="1" x14ac:dyDescent="0.25">
      <c r="A2" s="19" t="s">
        <v>0</v>
      </c>
      <c r="B2" s="20">
        <v>44560</v>
      </c>
      <c r="C2" s="20">
        <v>44925</v>
      </c>
      <c r="D2" s="20">
        <v>45290</v>
      </c>
      <c r="E2" s="120">
        <v>45656</v>
      </c>
      <c r="F2" s="120">
        <v>46021</v>
      </c>
      <c r="G2" s="120">
        <v>46386</v>
      </c>
    </row>
    <row r="3" spans="1:11" s="2" customFormat="1" ht="15.75" x14ac:dyDescent="0.25">
      <c r="A3" s="22" t="s">
        <v>1</v>
      </c>
      <c r="B3" s="23">
        <v>162041.60000000001</v>
      </c>
      <c r="C3" s="23">
        <v>219551.59</v>
      </c>
      <c r="D3" s="23">
        <v>354992.92</v>
      </c>
      <c r="E3" s="23">
        <f>D3+88335.67</f>
        <v>443328.58999999997</v>
      </c>
      <c r="F3" s="23">
        <f t="shared" ref="F3:G3" si="0">E3+88335.67</f>
        <v>531664.26</v>
      </c>
      <c r="G3" s="23">
        <f t="shared" si="0"/>
        <v>619999.93000000005</v>
      </c>
      <c r="K3" s="13"/>
    </row>
    <row r="4" spans="1:11" s="7" customFormat="1" ht="15.75" x14ac:dyDescent="0.25">
      <c r="A4" s="42" t="s">
        <v>111</v>
      </c>
      <c r="B4" s="42"/>
      <c r="C4" s="43">
        <f>C3/B3-1</f>
        <v>0.35490880119672963</v>
      </c>
      <c r="D4" s="43">
        <f t="shared" ref="D4" si="1">D3/C3-1</f>
        <v>0.6168997910696068</v>
      </c>
      <c r="E4" s="43">
        <f t="shared" ref="E4" si="2">E3/D3-1</f>
        <v>0.24883783597712306</v>
      </c>
      <c r="F4" s="43">
        <f t="shared" ref="F4" si="3">F3/E3-1</f>
        <v>0.1992555228617221</v>
      </c>
      <c r="G4" s="43">
        <f t="shared" ref="G4" si="4">G3/F3-1</f>
        <v>0.16614934771052692</v>
      </c>
    </row>
    <row r="5" spans="1:11" s="4" customFormat="1" ht="15.75" x14ac:dyDescent="0.25">
      <c r="A5" s="24" t="s">
        <v>2</v>
      </c>
      <c r="B5" s="26">
        <v>71127.77</v>
      </c>
      <c r="C5" s="26">
        <v>97554.17</v>
      </c>
      <c r="D5" s="26">
        <v>178396.6</v>
      </c>
      <c r="E5" s="26">
        <f>E3*E6</f>
        <v>236088.28158967645</v>
      </c>
      <c r="F5" s="26">
        <f>F3*F6</f>
        <v>299080.10337935295</v>
      </c>
      <c r="G5" s="26">
        <f>G3*G6</f>
        <v>367372.06536902941</v>
      </c>
    </row>
    <row r="6" spans="1:11" s="7" customFormat="1" ht="15.75" x14ac:dyDescent="0.25">
      <c r="A6" s="42" t="s">
        <v>104</v>
      </c>
      <c r="B6" s="44">
        <f>B5/B3</f>
        <v>0.43894759123583083</v>
      </c>
      <c r="C6" s="44">
        <f t="shared" ref="C6:D6" si="5">C5/C3</f>
        <v>0.44433369851705468</v>
      </c>
      <c r="D6" s="44">
        <f t="shared" si="5"/>
        <v>0.50253565620407303</v>
      </c>
      <c r="E6" s="44">
        <f>D6+3%</f>
        <v>0.53253565620407306</v>
      </c>
      <c r="F6" s="44">
        <f t="shared" ref="F6:G6" si="6">E6+3%</f>
        <v>0.56253565620407309</v>
      </c>
      <c r="G6" s="44">
        <f t="shared" si="6"/>
        <v>0.59253565620407311</v>
      </c>
    </row>
    <row r="7" spans="1:11" s="4" customFormat="1" ht="15.75" x14ac:dyDescent="0.25">
      <c r="A7" s="24" t="s">
        <v>4</v>
      </c>
      <c r="B7" s="26">
        <v>90913.84</v>
      </c>
      <c r="C7" s="26">
        <v>121997.42</v>
      </c>
      <c r="D7" s="26">
        <v>176596.32</v>
      </c>
      <c r="E7" s="26">
        <f>E3-E5</f>
        <v>207240.30841032352</v>
      </c>
      <c r="F7" s="26">
        <f t="shared" ref="F7:G7" si="7">F3-F5</f>
        <v>232584.15662064706</v>
      </c>
      <c r="G7" s="26">
        <f t="shared" si="7"/>
        <v>252627.86463097064</v>
      </c>
    </row>
    <row r="8" spans="1:11" s="4" customFormat="1" ht="15.75" x14ac:dyDescent="0.25">
      <c r="A8" s="24" t="s">
        <v>5</v>
      </c>
      <c r="B8" s="26">
        <v>9925.1299999999992</v>
      </c>
      <c r="C8" s="26">
        <v>16989.12</v>
      </c>
      <c r="D8" s="26">
        <v>46745.38</v>
      </c>
      <c r="E8" s="26">
        <f>E7*E9</f>
        <v>34128.28278760898</v>
      </c>
      <c r="F8" s="26">
        <f>F9*F7</f>
        <v>45977.178617840371</v>
      </c>
      <c r="G8" s="26">
        <f>G9*G7</f>
        <v>58276.133398085425</v>
      </c>
    </row>
    <row r="9" spans="1:11" s="7" customFormat="1" ht="15.75" x14ac:dyDescent="0.25">
      <c r="A9" s="42" t="s">
        <v>105</v>
      </c>
      <c r="B9" s="43">
        <f>B8/B3</f>
        <v>6.1250506042892679E-2</v>
      </c>
      <c r="C9" s="43">
        <f t="shared" ref="C9:D9" si="8">C8/C3</f>
        <v>7.7380992777141805E-2</v>
      </c>
      <c r="D9" s="43">
        <f t="shared" si="8"/>
        <v>0.13167975293704448</v>
      </c>
      <c r="E9" s="43">
        <f>D9+3.3%</f>
        <v>0.16467975293704448</v>
      </c>
      <c r="F9" s="43">
        <f t="shared" ref="F9:G9" si="9">E9+3.3%</f>
        <v>0.19767975293704448</v>
      </c>
      <c r="G9" s="43">
        <f t="shared" si="9"/>
        <v>0.23067975293704449</v>
      </c>
    </row>
    <row r="10" spans="1:11" s="4" customFormat="1" ht="15.75" x14ac:dyDescent="0.25">
      <c r="A10" s="24" t="s">
        <v>6</v>
      </c>
      <c r="B10" s="26">
        <v>80988.710000000006</v>
      </c>
      <c r="C10" s="26">
        <v>105008.3</v>
      </c>
      <c r="D10" s="26">
        <v>129850.95</v>
      </c>
      <c r="E10" s="26">
        <f>E7-E8</f>
        <v>173112.02562271454</v>
      </c>
      <c r="F10" s="26">
        <f t="shared" ref="F10:G10" si="10">F7-F8</f>
        <v>186606.97800280669</v>
      </c>
      <c r="G10" s="26">
        <f t="shared" si="10"/>
        <v>194351.73123288521</v>
      </c>
    </row>
    <row r="11" spans="1:11" s="2" customFormat="1" ht="15.75" x14ac:dyDescent="0.25">
      <c r="A11" s="22" t="s">
        <v>7</v>
      </c>
      <c r="B11" s="23">
        <v>53626.69</v>
      </c>
      <c r="C11" s="23">
        <v>63440.58</v>
      </c>
      <c r="D11" s="23">
        <v>161362.22</v>
      </c>
      <c r="E11" s="23">
        <f>E12*E3</f>
        <v>223681.67513326448</v>
      </c>
      <c r="F11" s="23">
        <f t="shared" ref="F11:G11" si="11">F12*F3</f>
        <v>294834.69726652896</v>
      </c>
      <c r="G11" s="23">
        <f t="shared" si="11"/>
        <v>374821.28639979352</v>
      </c>
    </row>
    <row r="12" spans="1:11" s="7" customFormat="1" ht="15.75" x14ac:dyDescent="0.25">
      <c r="A12" s="42" t="s">
        <v>112</v>
      </c>
      <c r="B12" s="43">
        <f>B11/B3</f>
        <v>0.33094396747501875</v>
      </c>
      <c r="C12" s="43">
        <f t="shared" ref="C12:D12" si="12">C11/C3</f>
        <v>0.28895522915593552</v>
      </c>
      <c r="D12" s="43">
        <f t="shared" si="12"/>
        <v>0.45455053019085567</v>
      </c>
      <c r="E12" s="43">
        <f>D12+5%</f>
        <v>0.50455053019085572</v>
      </c>
      <c r="F12" s="43">
        <f t="shared" ref="F12:G12" si="13">E12+5%</f>
        <v>0.55455053019085576</v>
      </c>
      <c r="G12" s="43">
        <f t="shared" si="13"/>
        <v>0.60455053019085581</v>
      </c>
    </row>
    <row r="13" spans="1:11" s="4" customFormat="1" ht="15.75" x14ac:dyDescent="0.25">
      <c r="A13" s="24" t="s">
        <v>3</v>
      </c>
      <c r="B13" s="26">
        <v>-111898.74</v>
      </c>
      <c r="C13" s="26">
        <v>-131878.82999999999</v>
      </c>
      <c r="D13" s="26">
        <v>-186781.72</v>
      </c>
      <c r="E13" s="26">
        <f>E11*E14</f>
        <v>-252207.95092982546</v>
      </c>
      <c r="F13" s="26">
        <f t="shared" ref="F13:G13" si="14">F11*F14</f>
        <v>-323590.12533469283</v>
      </c>
      <c r="G13" s="26">
        <f t="shared" si="14"/>
        <v>-400133.22218460217</v>
      </c>
    </row>
    <row r="14" spans="1:11" s="7" customFormat="1" ht="15.75" x14ac:dyDescent="0.25">
      <c r="A14" s="42" t="s">
        <v>106</v>
      </c>
      <c r="B14" s="43">
        <f>B13/B11</f>
        <v>-2.0866240299373318</v>
      </c>
      <c r="C14" s="43">
        <f>C13/C11</f>
        <v>-2.0787771801581889</v>
      </c>
      <c r="D14" s="43">
        <f>D13/D11</f>
        <v>-1.1575306784946315</v>
      </c>
      <c r="E14" s="43">
        <f>D14+3%</f>
        <v>-1.1275306784946315</v>
      </c>
      <c r="F14" s="43">
        <f t="shared" ref="F14:G14" si="15">E14+3%</f>
        <v>-1.0975306784946315</v>
      </c>
      <c r="G14" s="43">
        <f t="shared" si="15"/>
        <v>-1.0675306784946315</v>
      </c>
    </row>
    <row r="15" spans="1:11" s="4" customFormat="1" ht="15.75" x14ac:dyDescent="0.25">
      <c r="A15" s="24" t="s">
        <v>8</v>
      </c>
      <c r="B15" s="26">
        <f>B10+B11+B13</f>
        <v>22716.660000000018</v>
      </c>
      <c r="C15" s="26">
        <f>C10+C11+C13</f>
        <v>36570.050000000017</v>
      </c>
      <c r="D15" s="26">
        <f>D10+D11+D13</f>
        <v>104431.44999999998</v>
      </c>
      <c r="E15" s="26">
        <f>E10+E11+E13</f>
        <v>144585.74982615359</v>
      </c>
      <c r="F15" s="26">
        <f t="shared" ref="F15:G15" si="16">F10+F11+F13</f>
        <v>157851.5499346428</v>
      </c>
      <c r="G15" s="26">
        <f t="shared" si="16"/>
        <v>169039.79544807656</v>
      </c>
    </row>
    <row r="16" spans="1:11" s="4" customFormat="1" ht="15.75" x14ac:dyDescent="0.25">
      <c r="A16" s="24" t="s">
        <v>9</v>
      </c>
      <c r="B16" s="26">
        <v>1799.93</v>
      </c>
      <c r="C16" s="26">
        <v>5441.37</v>
      </c>
      <c r="D16" s="26">
        <v>11413.83</v>
      </c>
      <c r="E16" s="26">
        <f>E17*E15</f>
        <v>18694.207147481877</v>
      </c>
      <c r="F16" s="26">
        <f>F17*F15</f>
        <v>23566.439094424237</v>
      </c>
      <c r="G16" s="26">
        <f>G15*G17</f>
        <v>28617.583546526275</v>
      </c>
    </row>
    <row r="17" spans="1:7" s="7" customFormat="1" ht="15.75" x14ac:dyDescent="0.25">
      <c r="A17" s="42" t="s">
        <v>107</v>
      </c>
      <c r="B17" s="43">
        <f>B16/B15</f>
        <v>7.9233919070849257E-2</v>
      </c>
      <c r="C17" s="43">
        <f t="shared" ref="C17:D17" si="17">C16/C15</f>
        <v>0.14879306973876155</v>
      </c>
      <c r="D17" s="43">
        <f t="shared" si="17"/>
        <v>0.10929494898328043</v>
      </c>
      <c r="E17" s="43">
        <f>D17+2%</f>
        <v>0.12929494898328042</v>
      </c>
      <c r="F17" s="43">
        <f t="shared" ref="F17:G17" si="18">E17+2%</f>
        <v>0.14929494898328041</v>
      </c>
      <c r="G17" s="43">
        <f t="shared" si="18"/>
        <v>0.1692949489832804</v>
      </c>
    </row>
    <row r="18" spans="1:7" s="4" customFormat="1" ht="15.75" x14ac:dyDescent="0.25">
      <c r="A18" s="24" t="s">
        <v>10</v>
      </c>
      <c r="B18" s="26">
        <v>20916.72</v>
      </c>
      <c r="C18" s="26">
        <v>31128.69</v>
      </c>
      <c r="D18" s="26">
        <v>93017.62</v>
      </c>
      <c r="E18" s="26">
        <f>E15-E16</f>
        <v>125891.54267867171</v>
      </c>
      <c r="F18" s="26">
        <f t="shared" ref="F18:G18" si="19">F15-F16</f>
        <v>134285.11084021855</v>
      </c>
      <c r="G18" s="26">
        <f t="shared" si="19"/>
        <v>140422.2119015503</v>
      </c>
    </row>
    <row r="19" spans="1:7" s="4" customFormat="1" ht="15.75" x14ac:dyDescent="0.25">
      <c r="A19" s="24" t="s">
        <v>56</v>
      </c>
      <c r="B19" s="26">
        <v>-208.13999999999942</v>
      </c>
      <c r="C19" s="26">
        <v>-227.93999999999869</v>
      </c>
      <c r="D19" s="26">
        <v>-388.29999999998836</v>
      </c>
      <c r="E19" s="26">
        <f>D19</f>
        <v>-388.29999999998836</v>
      </c>
      <c r="F19" s="26">
        <f t="shared" ref="F19:G19" si="20">E19</f>
        <v>-388.29999999998836</v>
      </c>
      <c r="G19" s="26">
        <f t="shared" si="20"/>
        <v>-388.29999999998836</v>
      </c>
    </row>
    <row r="20" spans="1:7" s="2" customFormat="1" ht="15.75" x14ac:dyDescent="0.25">
      <c r="A20" s="22" t="s">
        <v>11</v>
      </c>
      <c r="B20" s="23">
        <v>20708.580000000002</v>
      </c>
      <c r="C20" s="23">
        <v>30900.75</v>
      </c>
      <c r="D20" s="23">
        <v>92629.32</v>
      </c>
      <c r="E20" s="23">
        <f>E18+E19</f>
        <v>125503.24267867173</v>
      </c>
      <c r="F20" s="23">
        <f>F18+F19</f>
        <v>133896.81084021856</v>
      </c>
      <c r="G20" s="23">
        <f>G18+G19</f>
        <v>140033.91190155031</v>
      </c>
    </row>
    <row r="21" spans="1:7" s="7" customFormat="1" ht="15.75" x14ac:dyDescent="0.25">
      <c r="A21" s="42" t="s">
        <v>108</v>
      </c>
      <c r="B21" s="42"/>
      <c r="C21" s="43">
        <f>C20/B20-1</f>
        <v>0.49217136085622459</v>
      </c>
      <c r="D21" s="43">
        <f t="shared" ref="D21" si="21">D20/C20-1</f>
        <v>1.9976398631101189</v>
      </c>
      <c r="E21" s="43">
        <f t="shared" ref="E21" si="22">E20/D20-1</f>
        <v>0.35489759267013632</v>
      </c>
      <c r="F21" s="43">
        <f t="shared" ref="F21" si="23">F20/E20-1</f>
        <v>6.687929317521335E-2</v>
      </c>
      <c r="G21" s="43">
        <f t="shared" ref="G21" si="24">G20/F20-1</f>
        <v>4.5834557394016429E-2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E2" sqref="E2:G2"/>
    </sheetView>
  </sheetViews>
  <sheetFormatPr defaultRowHeight="15" x14ac:dyDescent="0.25"/>
  <cols>
    <col min="1" max="1" width="54.140625" customWidth="1"/>
    <col min="2" max="2" width="13.140625" customWidth="1"/>
    <col min="3" max="3" width="12.7109375" customWidth="1"/>
    <col min="4" max="4" width="11.85546875" customWidth="1"/>
    <col min="5" max="6" width="13.42578125" customWidth="1"/>
    <col min="7" max="7" width="12.85546875" customWidth="1"/>
    <col min="10" max="11" width="11.5703125" bestFit="1" customWidth="1"/>
    <col min="12" max="12" width="13.28515625" bestFit="1" customWidth="1"/>
  </cols>
  <sheetData>
    <row r="1" spans="1:9" s="18" customFormat="1" ht="30.75" customHeight="1" x14ac:dyDescent="0.25">
      <c r="A1" s="17"/>
      <c r="B1" s="124" t="s">
        <v>109</v>
      </c>
      <c r="C1" s="124"/>
      <c r="D1" s="124"/>
      <c r="E1" s="124" t="s">
        <v>110</v>
      </c>
      <c r="F1" s="124"/>
      <c r="G1" s="124"/>
    </row>
    <row r="2" spans="1:9" s="21" customFormat="1" ht="21" customHeight="1" x14ac:dyDescent="0.25">
      <c r="A2" s="19"/>
      <c r="B2" s="64">
        <v>44560</v>
      </c>
      <c r="C2" s="64">
        <v>44925</v>
      </c>
      <c r="D2" s="64">
        <v>45290</v>
      </c>
      <c r="E2" s="121">
        <v>45656</v>
      </c>
      <c r="F2" s="121">
        <v>46021</v>
      </c>
      <c r="G2" s="121">
        <v>46021</v>
      </c>
    </row>
    <row r="3" spans="1:9" s="4" customFormat="1" ht="15.75" x14ac:dyDescent="0.25">
      <c r="A3" s="24" t="s">
        <v>13</v>
      </c>
      <c r="B3" s="26">
        <v>314173.14</v>
      </c>
      <c r="C3" s="26">
        <v>501933.3</v>
      </c>
      <c r="D3" s="26">
        <v>813689.84</v>
      </c>
      <c r="E3" s="26">
        <f>D3+245436.67</f>
        <v>1059126.51</v>
      </c>
      <c r="F3" s="26">
        <f t="shared" ref="F3:G3" si="0">E3+245436.67</f>
        <v>1304563.18</v>
      </c>
      <c r="G3" s="26">
        <f t="shared" si="0"/>
        <v>1549999.8499999999</v>
      </c>
    </row>
    <row r="4" spans="1:9" s="4" customFormat="1" ht="15.75" x14ac:dyDescent="0.25">
      <c r="A4" s="24" t="s">
        <v>14</v>
      </c>
      <c r="B4" s="26">
        <v>101499.16</v>
      </c>
      <c r="C4" s="26">
        <v>107472.48</v>
      </c>
      <c r="D4" s="26">
        <v>91585.64</v>
      </c>
      <c r="E4" s="26">
        <f>D4-3862</f>
        <v>87723.64</v>
      </c>
      <c r="F4" s="26">
        <f t="shared" ref="F4:G4" si="1">E4-3862</f>
        <v>83861.64</v>
      </c>
      <c r="G4" s="26">
        <f t="shared" si="1"/>
        <v>79999.64</v>
      </c>
    </row>
    <row r="5" spans="1:9" s="4" customFormat="1" ht="15.75" x14ac:dyDescent="0.25">
      <c r="A5" s="24" t="s">
        <v>15</v>
      </c>
      <c r="B5" s="26">
        <v>-54414.61</v>
      </c>
      <c r="C5" s="26">
        <v>-56504.959999999999</v>
      </c>
      <c r="D5" s="26">
        <v>-37452.78</v>
      </c>
      <c r="E5" s="26">
        <f>D5+7151</f>
        <v>-30301.78</v>
      </c>
      <c r="F5" s="26">
        <f t="shared" ref="F5:G5" si="2">E5+7151</f>
        <v>-23150.78</v>
      </c>
      <c r="G5" s="26">
        <f t="shared" si="2"/>
        <v>-15999.779999999999</v>
      </c>
    </row>
    <row r="6" spans="1:9" s="4" customFormat="1" ht="15.75" x14ac:dyDescent="0.25">
      <c r="A6" s="24" t="s">
        <v>16</v>
      </c>
      <c r="B6" s="26">
        <v>362700.08</v>
      </c>
      <c r="C6" s="26">
        <v>247485.62</v>
      </c>
      <c r="D6" s="26">
        <v>579208.62</v>
      </c>
      <c r="E6" s="26">
        <f>D6+Cashflow!E26</f>
        <v>825290.28</v>
      </c>
      <c r="F6" s="26">
        <f>E6+Cashflow!F26</f>
        <v>985755.86</v>
      </c>
      <c r="G6" s="26">
        <f>F6+Cashflow!G26</f>
        <v>1060605.3599999999</v>
      </c>
    </row>
    <row r="7" spans="1:9" s="4" customFormat="1" ht="15.75" x14ac:dyDescent="0.25">
      <c r="A7" s="24" t="s">
        <v>17</v>
      </c>
      <c r="B7" s="26">
        <v>672520.15</v>
      </c>
      <c r="C7" s="26">
        <v>948978.2</v>
      </c>
      <c r="D7" s="26">
        <v>1096119.8899999999</v>
      </c>
      <c r="E7" s="26">
        <f>D7+217960</f>
        <v>1314079.8899999999</v>
      </c>
      <c r="F7" s="26">
        <f t="shared" ref="F7:G7" si="3">E7+217960</f>
        <v>1532039.89</v>
      </c>
      <c r="G7" s="26">
        <f t="shared" si="3"/>
        <v>1749999.89</v>
      </c>
    </row>
    <row r="8" spans="1:9" s="4" customFormat="1" ht="15.75" x14ac:dyDescent="0.25">
      <c r="A8" s="24" t="s">
        <v>18</v>
      </c>
      <c r="B8" s="26">
        <v>1063589.19</v>
      </c>
      <c r="C8" s="26">
        <v>1195626.5900000001</v>
      </c>
      <c r="D8" s="26">
        <v>1841475.09</v>
      </c>
      <c r="E8" s="26">
        <v>2227650.09</v>
      </c>
      <c r="F8" s="26">
        <v>2613825.09</v>
      </c>
      <c r="G8" s="26">
        <v>3000000.09</v>
      </c>
    </row>
    <row r="9" spans="1:9" s="4" customFormat="1" ht="15.75" x14ac:dyDescent="0.25">
      <c r="A9" s="24" t="s">
        <v>19</v>
      </c>
      <c r="B9" s="26">
        <v>11338.98</v>
      </c>
      <c r="C9" s="26">
        <v>19291.04</v>
      </c>
      <c r="D9" s="26">
        <v>19291.04</v>
      </c>
      <c r="E9" s="26">
        <f>D9+4375</f>
        <v>23666.04</v>
      </c>
      <c r="F9" s="26">
        <f t="shared" ref="F9:G9" si="4">E9+4375</f>
        <v>28041.040000000001</v>
      </c>
      <c r="G9" s="26">
        <f t="shared" si="4"/>
        <v>32416.04</v>
      </c>
    </row>
    <row r="10" spans="1:9" s="4" customFormat="1" ht="15.75" x14ac:dyDescent="0.25">
      <c r="A10" s="24" t="s">
        <v>20</v>
      </c>
      <c r="B10" s="26">
        <v>5816.99</v>
      </c>
      <c r="C10" s="26">
        <v>10346.56</v>
      </c>
      <c r="D10" s="26">
        <v>11973.75</v>
      </c>
      <c r="E10" s="26">
        <f>D10+1236.3</f>
        <v>13210.05</v>
      </c>
      <c r="F10" s="26">
        <f t="shared" ref="F10:G10" si="5">E10+1236.3</f>
        <v>14446.349999999999</v>
      </c>
      <c r="G10" s="26">
        <f t="shared" si="5"/>
        <v>15682.649999999998</v>
      </c>
    </row>
    <row r="11" spans="1:9" s="4" customFormat="1" ht="15.75" x14ac:dyDescent="0.25">
      <c r="A11" s="24" t="s">
        <v>21</v>
      </c>
      <c r="B11" s="55">
        <v>6810.65</v>
      </c>
      <c r="C11" s="56">
        <v>0</v>
      </c>
      <c r="D11" s="56">
        <v>0</v>
      </c>
      <c r="E11" s="57">
        <v>0</v>
      </c>
      <c r="F11" s="56">
        <v>0</v>
      </c>
      <c r="G11" s="56">
        <v>0</v>
      </c>
    </row>
    <row r="12" spans="1:9" s="4" customFormat="1" ht="15.75" x14ac:dyDescent="0.25">
      <c r="A12" s="24" t="s">
        <v>22</v>
      </c>
      <c r="B12" s="26">
        <v>9163.9</v>
      </c>
      <c r="C12" s="26">
        <v>8423.73</v>
      </c>
      <c r="D12" s="26">
        <v>8003.54</v>
      </c>
      <c r="E12" s="26">
        <f>D12-500</f>
        <v>7503.54</v>
      </c>
      <c r="F12" s="26">
        <f t="shared" ref="F12:G12" si="6">E12-500</f>
        <v>7003.54</v>
      </c>
      <c r="G12" s="26">
        <f t="shared" si="6"/>
        <v>6503.54</v>
      </c>
    </row>
    <row r="13" spans="1:9" s="2" customFormat="1" ht="15.75" x14ac:dyDescent="0.25">
      <c r="A13" s="22" t="s">
        <v>23</v>
      </c>
      <c r="B13" s="23">
        <v>2493197.63</v>
      </c>
      <c r="C13" s="23">
        <v>2983052.56</v>
      </c>
      <c r="D13" s="23">
        <v>4423894.63</v>
      </c>
      <c r="E13" s="23">
        <f>SUM(E3:E12)</f>
        <v>5527948.2599999998</v>
      </c>
      <c r="F13" s="23">
        <f t="shared" ref="F13:G13" si="7">SUM(F3:F12)</f>
        <v>6546385.8099999996</v>
      </c>
      <c r="G13" s="23">
        <f t="shared" si="7"/>
        <v>7479207.2799999993</v>
      </c>
      <c r="I13" s="10"/>
    </row>
    <row r="14" spans="1:9" s="11" customFormat="1" ht="15.75" x14ac:dyDescent="0.25">
      <c r="A14" s="42" t="s">
        <v>113</v>
      </c>
      <c r="B14" s="58"/>
      <c r="C14" s="43">
        <f>C13/B13-1</f>
        <v>0.19647657454254852</v>
      </c>
      <c r="D14" s="43">
        <f>D13/C13-1</f>
        <v>0.48300928026558121</v>
      </c>
      <c r="E14" s="43">
        <f>E13/D13-1</f>
        <v>0.24956598706330402</v>
      </c>
      <c r="F14" s="43">
        <f>F13/E13-1</f>
        <v>0.18423427682371241</v>
      </c>
      <c r="G14" s="43">
        <f>G13/F13-1</f>
        <v>0.14249411768170739</v>
      </c>
      <c r="I14" s="12"/>
    </row>
    <row r="15" spans="1:9" s="4" customFormat="1" ht="15.75" x14ac:dyDescent="0.25">
      <c r="A15" s="24" t="s">
        <v>24</v>
      </c>
      <c r="B15" s="26">
        <v>23644.28</v>
      </c>
      <c r="C15" s="26">
        <v>25368.29</v>
      </c>
      <c r="D15" s="26">
        <v>27357.82</v>
      </c>
      <c r="E15" s="26">
        <f>E16*('P&amp;L'!E3+'P&amp;L'!E11)</f>
        <v>25801.668236201331</v>
      </c>
      <c r="F15" s="26">
        <f>F16*('P&amp;L'!F3+'P&amp;L'!F11)</f>
        <v>20152.164919117313</v>
      </c>
      <c r="G15" s="26">
        <f>G16*('P&amp;L'!G3+'P&amp;L'!G11)</f>
        <v>10030.350024447942</v>
      </c>
    </row>
    <row r="16" spans="1:9" s="7" customFormat="1" ht="15.75" x14ac:dyDescent="0.25">
      <c r="A16" s="42" t="s">
        <v>114</v>
      </c>
      <c r="B16" s="59">
        <f>B15/('P&amp;L'!B3+'P&amp;L'!B11)</f>
        <v>0.10963262146697597</v>
      </c>
      <c r="C16" s="59">
        <f>C15/('P&amp;L'!C3+'P&amp;L'!C11)</f>
        <v>8.9643080937539726E-2</v>
      </c>
      <c r="D16" s="59">
        <f>D15/('P&amp;L'!D3+'P&amp;L'!D11)</f>
        <v>5.2982565449043457E-2</v>
      </c>
      <c r="E16" s="59">
        <f>D16-1.43%</f>
        <v>3.8682565449043457E-2</v>
      </c>
      <c r="F16" s="59">
        <f t="shared" ref="F16:G16" si="8">E16-1.43%</f>
        <v>2.4382565449043457E-2</v>
      </c>
      <c r="G16" s="59">
        <f t="shared" si="8"/>
        <v>1.0082565449043457E-2</v>
      </c>
    </row>
    <row r="17" spans="1:12" s="4" customFormat="1" ht="15.75" x14ac:dyDescent="0.25">
      <c r="A17" s="24" t="s">
        <v>25</v>
      </c>
      <c r="B17" s="26">
        <v>4346.08</v>
      </c>
      <c r="C17" s="26">
        <v>8576.43</v>
      </c>
      <c r="D17" s="26">
        <v>22680.28</v>
      </c>
      <c r="E17" s="26">
        <f>E18*('P&amp;L'!E3+'P&amp;L'!E11)</f>
        <v>36834.841610997682</v>
      </c>
      <c r="F17" s="26">
        <f>F18*('P&amp;L'!F3+'P&amp;L'!F11)</f>
        <v>54981.85149614104</v>
      </c>
      <c r="G17" s="26">
        <f>G18*('P&amp;L'!G3+'P&amp;L'!G11)</f>
        <v>77420.767576730068</v>
      </c>
      <c r="J17" s="6"/>
      <c r="L17" s="6"/>
    </row>
    <row r="18" spans="1:12" s="7" customFormat="1" ht="15.75" x14ac:dyDescent="0.25">
      <c r="A18" s="42" t="s">
        <v>132</v>
      </c>
      <c r="B18" s="59">
        <f>B17/('P&amp;L'!B3+'P&amp;L'!B11)</f>
        <v>2.0151687575396458E-2</v>
      </c>
      <c r="C18" s="59">
        <f>C17/('P&amp;L'!C3+'P&amp;L'!C11)</f>
        <v>3.0306244868895139E-2</v>
      </c>
      <c r="D18" s="59">
        <f>D17/('P&amp;L'!D3+'P&amp;L'!D11)</f>
        <v>4.3923800196895492E-2</v>
      </c>
      <c r="E18" s="59">
        <f>D18+1.13%</f>
        <v>5.5223800196895489E-2</v>
      </c>
      <c r="F18" s="59">
        <f t="shared" ref="F18:G18" si="9">E18+1.13%</f>
        <v>6.6523800196895494E-2</v>
      </c>
      <c r="G18" s="59">
        <f t="shared" si="9"/>
        <v>7.7823800196895498E-2</v>
      </c>
      <c r="J18" s="8"/>
      <c r="L18" s="8"/>
    </row>
    <row r="19" spans="1:12" s="4" customFormat="1" ht="15.75" x14ac:dyDescent="0.25">
      <c r="A19" s="24" t="s">
        <v>26</v>
      </c>
      <c r="B19" s="26">
        <v>1912032.89</v>
      </c>
      <c r="C19" s="26">
        <v>2358922.5299999998</v>
      </c>
      <c r="D19" s="26">
        <v>3541069.44</v>
      </c>
      <c r="E19" s="26">
        <f>E13*E20-84180-1512.49</f>
        <v>4438610.5087333014</v>
      </c>
      <c r="F19" s="26">
        <f>F13*F20-236282+1027.84</f>
        <v>5240415.4744162848</v>
      </c>
      <c r="G19" s="26">
        <f>G13*G20-488120+13184.93+62128</f>
        <v>5977739.0087289512</v>
      </c>
    </row>
    <row r="20" spans="1:12" s="7" customFormat="1" ht="15.75" x14ac:dyDescent="0.25">
      <c r="A20" s="42" t="s">
        <v>115</v>
      </c>
      <c r="B20" s="59">
        <f>B19/B13</f>
        <v>0.76689985061473043</v>
      </c>
      <c r="C20" s="59">
        <f>C19/C13</f>
        <v>0.79077471233024466</v>
      </c>
      <c r="D20" s="59">
        <f>D19/D13</f>
        <v>0.80044163258020462</v>
      </c>
      <c r="E20" s="59">
        <f>D20+1.8%</f>
        <v>0.81844163258020464</v>
      </c>
      <c r="F20" s="59">
        <f t="shared" ref="F20:G20" si="10">E20+1.8%</f>
        <v>0.83644163258020465</v>
      </c>
      <c r="G20" s="59">
        <f t="shared" si="10"/>
        <v>0.85444163258020467</v>
      </c>
    </row>
    <row r="21" spans="1:12" s="4" customFormat="1" ht="15.75" x14ac:dyDescent="0.25">
      <c r="A21" s="24" t="s">
        <v>27</v>
      </c>
      <c r="B21" s="26">
        <v>5449.06</v>
      </c>
      <c r="C21" s="26">
        <v>7180.29</v>
      </c>
      <c r="D21" s="26">
        <v>11296.17</v>
      </c>
      <c r="E21" s="26">
        <f>E22*('P&amp;L'!E3+'P&amp;L'!E11)</f>
        <v>13925.003569938519</v>
      </c>
      <c r="F21" s="26">
        <f>F22*('P&amp;L'!F3+'P&amp;L'!F11)</f>
        <v>16428.109452976532</v>
      </c>
      <c r="G21" s="26">
        <f>G22*('P&amp;L'!G3+'P&amp;L'!G11)</f>
        <v>18778.986948114038</v>
      </c>
    </row>
    <row r="22" spans="1:12" s="7" customFormat="1" ht="15.75" x14ac:dyDescent="0.25">
      <c r="A22" s="42" t="s">
        <v>116</v>
      </c>
      <c r="B22" s="59">
        <f>B21/('P&amp;L'!B3+'P&amp;L'!B11)</f>
        <v>2.5265930378545683E-2</v>
      </c>
      <c r="C22" s="59">
        <f>C21/('P&amp;L'!C3+'P&amp;L'!C11)</f>
        <v>2.5372751479307714E-2</v>
      </c>
      <c r="D22" s="59">
        <f>D21/('P&amp;L'!D3+'P&amp;L'!D11)</f>
        <v>2.1876745528281175E-2</v>
      </c>
      <c r="E22" s="59">
        <f>D22-0.1%</f>
        <v>2.0876745528281174E-2</v>
      </c>
      <c r="F22" s="59">
        <f t="shared" ref="F22:G22" si="11">E22-0.1%</f>
        <v>1.9876745528281173E-2</v>
      </c>
      <c r="G22" s="59">
        <f t="shared" si="11"/>
        <v>1.8876745528281173E-2</v>
      </c>
    </row>
    <row r="23" spans="1:12" s="4" customFormat="1" ht="15.75" x14ac:dyDescent="0.25">
      <c r="A23" s="24" t="s">
        <v>28</v>
      </c>
      <c r="B23" s="26">
        <v>167587.10999999999</v>
      </c>
      <c r="C23" s="26">
        <v>180158.52</v>
      </c>
      <c r="D23" s="26">
        <v>277313.15000000002</v>
      </c>
      <c r="E23" s="26">
        <f>E24*E13</f>
        <v>332148.41452938411</v>
      </c>
      <c r="F23" s="26">
        <f>F24*F13</f>
        <v>376320.9343723479</v>
      </c>
      <c r="G23" s="26">
        <f>G24*G13</f>
        <v>410498.51495289133</v>
      </c>
      <c r="K23" s="6"/>
    </row>
    <row r="24" spans="1:12" s="7" customFormat="1" ht="15.75" x14ac:dyDescent="0.25">
      <c r="A24" s="42" t="s">
        <v>133</v>
      </c>
      <c r="B24" s="59">
        <f>B23/B13</f>
        <v>6.7217739975149904E-2</v>
      </c>
      <c r="C24" s="59">
        <f>C23/C13</f>
        <v>6.0394014646527043E-2</v>
      </c>
      <c r="D24" s="59">
        <f>D23/D13</f>
        <v>6.2685297276169533E-2</v>
      </c>
      <c r="E24" s="59">
        <f>D24-0.26%</f>
        <v>6.0085297276169534E-2</v>
      </c>
      <c r="F24" s="59">
        <f t="shared" ref="F24:G24" si="12">E24-0.26%</f>
        <v>5.7485297276169536E-2</v>
      </c>
      <c r="G24" s="59">
        <f t="shared" si="12"/>
        <v>5.4885297276169538E-2</v>
      </c>
      <c r="K24" s="8"/>
    </row>
    <row r="25" spans="1:12" s="4" customFormat="1" ht="15.75" x14ac:dyDescent="0.25">
      <c r="A25" s="24" t="s">
        <v>29</v>
      </c>
      <c r="B25" s="26">
        <v>308.73</v>
      </c>
      <c r="C25" s="26">
        <v>391.9</v>
      </c>
      <c r="D25" s="26">
        <v>2354.9499999999998</v>
      </c>
      <c r="E25" s="26">
        <f>'P&amp;L'!E15*E26</f>
        <v>3766.4875841136845</v>
      </c>
      <c r="F25" s="26">
        <f>'P&amp;L'!F15*F26</f>
        <v>4664.544744227358</v>
      </c>
      <c r="G25" s="26">
        <f>'P&amp;L'!G15*G26</f>
        <v>5586.7989118898686</v>
      </c>
    </row>
    <row r="26" spans="1:12" s="7" customFormat="1" ht="15.75" x14ac:dyDescent="0.25">
      <c r="A26" s="42" t="s">
        <v>117</v>
      </c>
      <c r="B26" s="59">
        <f>B25/('P&amp;L'!B15)</f>
        <v>1.3590466204098655E-2</v>
      </c>
      <c r="C26" s="59">
        <f>C25/('P&amp;L'!C15)</f>
        <v>1.0716419583785086E-2</v>
      </c>
      <c r="D26" s="59">
        <f>D25/('P&amp;L'!D15)</f>
        <v>2.2550199197655496E-2</v>
      </c>
      <c r="E26" s="60">
        <f>D26+0.35%</f>
        <v>2.6050199197655496E-2</v>
      </c>
      <c r="F26" s="60">
        <f t="shared" ref="F26:G26" si="13">E26+0.35%</f>
        <v>2.9550199197655495E-2</v>
      </c>
      <c r="G26" s="60">
        <f t="shared" si="13"/>
        <v>3.3050199197655492E-2</v>
      </c>
    </row>
    <row r="27" spans="1:12" s="4" customFormat="1" ht="15.75" x14ac:dyDescent="0.25">
      <c r="A27" s="24" t="s">
        <v>30</v>
      </c>
      <c r="B27" s="26">
        <v>136604.82999999987</v>
      </c>
      <c r="C27" s="26">
        <v>127553.41000000005</v>
      </c>
      <c r="D27" s="26">
        <v>80870.160000000047</v>
      </c>
      <c r="E27" s="26">
        <f>E28*E13</f>
        <v>67884.911744367375</v>
      </c>
      <c r="F27" s="26">
        <f>F28*F13</f>
        <v>41113.324506832454</v>
      </c>
      <c r="G27" s="26">
        <f>G28*G13</f>
        <v>2096.4877273952661</v>
      </c>
    </row>
    <row r="28" spans="1:12" s="7" customFormat="1" ht="15.75" x14ac:dyDescent="0.25">
      <c r="A28" s="24" t="s">
        <v>118</v>
      </c>
      <c r="B28" s="61">
        <f>B27/B13</f>
        <v>5.4791015504053672E-2</v>
      </c>
      <c r="C28" s="61">
        <f>C27/C13</f>
        <v>4.2759357213605395E-2</v>
      </c>
      <c r="D28" s="61">
        <f>D27/D13</f>
        <v>1.828030881467899E-2</v>
      </c>
      <c r="E28" s="61">
        <f>D28-0.6%</f>
        <v>1.2280308814678989E-2</v>
      </c>
      <c r="F28" s="61">
        <f t="shared" ref="F28:G28" si="14">E28-0.6%</f>
        <v>6.2803088146789893E-3</v>
      </c>
      <c r="G28" s="61">
        <f t="shared" si="14"/>
        <v>2.8030881467898915E-4</v>
      </c>
    </row>
    <row r="29" spans="1:12" s="2" customFormat="1" ht="15.75" x14ac:dyDescent="0.25">
      <c r="A29" s="22" t="s">
        <v>31</v>
      </c>
      <c r="B29" s="23">
        <v>2249972.98</v>
      </c>
      <c r="C29" s="23">
        <v>2708151.37</v>
      </c>
      <c r="D29" s="23">
        <v>3962941.97</v>
      </c>
      <c r="E29" s="23">
        <f>E15+E17+E19+E21+E23+E25+E27</f>
        <v>4918971.8360083038</v>
      </c>
      <c r="F29" s="23">
        <f t="shared" ref="F29:G29" si="15">F15+F17+F19+F21+F23+F25+F27</f>
        <v>5754076.4039079268</v>
      </c>
      <c r="G29" s="23">
        <f t="shared" si="15"/>
        <v>6502150.9148704195</v>
      </c>
    </row>
    <row r="30" spans="1:12" s="7" customFormat="1" ht="15.75" x14ac:dyDescent="0.25">
      <c r="A30" s="42" t="s">
        <v>119</v>
      </c>
      <c r="B30" s="43">
        <f t="shared" ref="B30:G30" si="16">B29/B13</f>
        <v>0.9024446970936677</v>
      </c>
      <c r="C30" s="43">
        <f t="shared" si="16"/>
        <v>0.90784567671177741</v>
      </c>
      <c r="D30" s="43">
        <f t="shared" si="16"/>
        <v>0.89580387903588032</v>
      </c>
      <c r="E30" s="43">
        <f t="shared" si="16"/>
        <v>0.88983680827872003</v>
      </c>
      <c r="F30" s="43">
        <f t="shared" si="16"/>
        <v>0.87896994936018402</v>
      </c>
      <c r="G30" s="43">
        <f t="shared" si="16"/>
        <v>0.86936364663374055</v>
      </c>
    </row>
    <row r="31" spans="1:12" s="4" customFormat="1" ht="15.75" x14ac:dyDescent="0.25">
      <c r="A31" s="24" t="s">
        <v>32</v>
      </c>
      <c r="B31" s="26">
        <v>9901.35</v>
      </c>
      <c r="C31" s="26">
        <v>9901.35</v>
      </c>
      <c r="D31" s="26">
        <v>9901.35</v>
      </c>
      <c r="E31" s="62">
        <f>D31</f>
        <v>9901.35</v>
      </c>
      <c r="F31" s="62">
        <f t="shared" ref="F31:G31" si="17">E31</f>
        <v>9901.35</v>
      </c>
      <c r="G31" s="62">
        <f t="shared" si="17"/>
        <v>9901.35</v>
      </c>
      <c r="J31" s="5"/>
    </row>
    <row r="32" spans="1:12" s="4" customFormat="1" ht="15.75" x14ac:dyDescent="0.25">
      <c r="A32" s="24" t="s">
        <v>33</v>
      </c>
      <c r="B32" s="26">
        <v>115392.41</v>
      </c>
      <c r="C32" s="26">
        <v>115392.41</v>
      </c>
      <c r="D32" s="26">
        <v>115392.41</v>
      </c>
      <c r="E32" s="62">
        <f>D32</f>
        <v>115392.41</v>
      </c>
      <c r="F32" s="62">
        <f t="shared" ref="F32:G32" si="18">E32</f>
        <v>115392.41</v>
      </c>
      <c r="G32" s="62">
        <f t="shared" si="18"/>
        <v>115392.41</v>
      </c>
    </row>
    <row r="33" spans="1:12" s="4" customFormat="1" ht="15.75" x14ac:dyDescent="0.25">
      <c r="A33" s="24" t="s">
        <v>34</v>
      </c>
      <c r="B33" s="26">
        <v>88489.23</v>
      </c>
      <c r="C33" s="26">
        <v>115429.43</v>
      </c>
      <c r="D33" s="26">
        <v>200645.7</v>
      </c>
      <c r="E33" s="62">
        <f>278359.783470508-5784</f>
        <v>272575.783470508</v>
      </c>
      <c r="F33" s="62">
        <f>362375.125925002+4429</f>
        <v>366804.12592500198</v>
      </c>
      <c r="G33" s="62">
        <v>451407.48616348242</v>
      </c>
    </row>
    <row r="34" spans="1:12" s="7" customFormat="1" ht="15.75" x14ac:dyDescent="0.25">
      <c r="A34" s="42"/>
      <c r="B34" s="59">
        <f>B33/B13</f>
        <v>3.5492264606396241E-2</v>
      </c>
      <c r="C34" s="59">
        <f>C33/C13</f>
        <v>3.8695070796875265E-2</v>
      </c>
      <c r="D34" s="59">
        <f>D33/D13</f>
        <v>4.5354990744885804E-2</v>
      </c>
      <c r="E34" s="59">
        <f>D34+0.5%</f>
        <v>5.0354990744885801E-2</v>
      </c>
      <c r="F34" s="59">
        <f t="shared" ref="F34:G34" si="19">E34+0.5%</f>
        <v>5.5354990744885799E-2</v>
      </c>
      <c r="G34" s="59">
        <f t="shared" si="19"/>
        <v>6.0354990744885796E-2</v>
      </c>
    </row>
    <row r="35" spans="1:12" s="4" customFormat="1" ht="15.75" x14ac:dyDescent="0.25">
      <c r="A35" s="24" t="s">
        <v>35</v>
      </c>
      <c r="B35" s="26">
        <v>18490.73</v>
      </c>
      <c r="C35" s="26">
        <v>21636.78</v>
      </c>
      <c r="D35" s="26">
        <v>49849.88</v>
      </c>
      <c r="E35" s="62">
        <f>E36*E13</f>
        <v>71522.38810138726</v>
      </c>
      <c r="F35" s="62">
        <f>F36*F13</f>
        <v>95631.727852651224</v>
      </c>
      <c r="G35" s="62">
        <f>G36*G13</f>
        <v>121748.96269299193</v>
      </c>
    </row>
    <row r="36" spans="1:12" s="7" customFormat="1" ht="15.75" x14ac:dyDescent="0.25">
      <c r="A36" s="42"/>
      <c r="B36" s="59">
        <f>B35/B13</f>
        <v>7.416471834204335E-3</v>
      </c>
      <c r="C36" s="59">
        <f>C35/C13</f>
        <v>7.2532345859839618E-3</v>
      </c>
      <c r="D36" s="59">
        <f>D35/D13</f>
        <v>1.126832444469863E-2</v>
      </c>
      <c r="E36" s="59">
        <f>D36+0.167%</f>
        <v>1.293832444469863E-2</v>
      </c>
      <c r="F36" s="59">
        <f t="shared" ref="F36:G36" si="20">E36+0.167%</f>
        <v>1.4608324444698629E-2</v>
      </c>
      <c r="G36" s="59">
        <f t="shared" si="20"/>
        <v>1.6278324444698629E-2</v>
      </c>
      <c r="J36" s="9"/>
      <c r="K36" s="9"/>
      <c r="L36" s="9"/>
    </row>
    <row r="37" spans="1:12" s="4" customFormat="1" ht="15.75" x14ac:dyDescent="0.25">
      <c r="A37" s="24" t="s">
        <v>36</v>
      </c>
      <c r="B37" s="26">
        <v>10950.93</v>
      </c>
      <c r="C37" s="26">
        <v>12541.21</v>
      </c>
      <c r="D37" s="26">
        <v>85163.31</v>
      </c>
      <c r="E37" s="62">
        <f>E38*E13</f>
        <v>139584.86508172815</v>
      </c>
      <c r="F37" s="62">
        <f>F38*F13</f>
        <v>204579.4966155958</v>
      </c>
      <c r="G37" s="62">
        <f>G38*G13</f>
        <v>278606.11516160297</v>
      </c>
    </row>
    <row r="38" spans="1:12" s="7" customFormat="1" ht="15.75" x14ac:dyDescent="0.25">
      <c r="A38" s="42"/>
      <c r="B38" s="59">
        <f>B37/B13</f>
        <v>4.3923232832529212E-3</v>
      </c>
      <c r="C38" s="59">
        <f>C37/C13</f>
        <v>4.2041532114338604E-3</v>
      </c>
      <c r="D38" s="59">
        <f>D37/D13</f>
        <v>1.9250754622968946E-2</v>
      </c>
      <c r="E38" s="59">
        <f>D38+0.6%</f>
        <v>2.5250754622968948E-2</v>
      </c>
      <c r="F38" s="59">
        <f t="shared" ref="F38:G38" si="21">E38+0.6%</f>
        <v>3.1250754622968946E-2</v>
      </c>
      <c r="G38" s="59">
        <f t="shared" si="21"/>
        <v>3.7250754622968944E-2</v>
      </c>
    </row>
    <row r="39" spans="1:12" s="2" customFormat="1" ht="15.75" x14ac:dyDescent="0.25">
      <c r="A39" s="22" t="s">
        <v>37</v>
      </c>
      <c r="B39" s="23">
        <v>243224.65</v>
      </c>
      <c r="C39" s="23">
        <v>274901.19</v>
      </c>
      <c r="D39" s="23">
        <v>460952.66</v>
      </c>
      <c r="E39" s="23">
        <f>E31+E32+E33+E35+E37</f>
        <v>608976.79665362346</v>
      </c>
      <c r="F39" s="23">
        <f t="shared" ref="F39:G39" si="22">F31+F32+F33+F35+F37</f>
        <v>792309.11039324896</v>
      </c>
      <c r="G39" s="23">
        <f t="shared" si="22"/>
        <v>977056.32401807734</v>
      </c>
    </row>
    <row r="40" spans="1:12" s="7" customFormat="1" ht="15.75" x14ac:dyDescent="0.25">
      <c r="A40" s="42" t="s">
        <v>102</v>
      </c>
      <c r="B40" s="43">
        <f t="shared" ref="B40:G40" si="23">B39/B13</f>
        <v>9.7555302906332381E-2</v>
      </c>
      <c r="C40" s="43">
        <f t="shared" si="23"/>
        <v>9.2154323288222581E-2</v>
      </c>
      <c r="D40" s="43">
        <f t="shared" si="23"/>
        <v>0.1041961209641198</v>
      </c>
      <c r="E40" s="43">
        <f t="shared" si="23"/>
        <v>0.11016325913542893</v>
      </c>
      <c r="F40" s="43">
        <f t="shared" si="23"/>
        <v>0.1210300054700334</v>
      </c>
      <c r="G40" s="43">
        <f t="shared" si="23"/>
        <v>0.13063634786948669</v>
      </c>
    </row>
    <row r="41" spans="1:12" s="2" customFormat="1" ht="15.75" x14ac:dyDescent="0.25">
      <c r="A41" s="22" t="s">
        <v>38</v>
      </c>
      <c r="B41" s="23">
        <v>2493197.63</v>
      </c>
      <c r="C41" s="23">
        <v>2983052.56</v>
      </c>
      <c r="D41" s="23">
        <v>4423894.63</v>
      </c>
      <c r="E41" s="63">
        <f>E29+E39</f>
        <v>5527948.6326619275</v>
      </c>
      <c r="F41" s="63">
        <f>F29+F39</f>
        <v>6546385.5143011753</v>
      </c>
      <c r="G41" s="63">
        <f>G29+G39</f>
        <v>7479207.2388884965</v>
      </c>
    </row>
    <row r="42" spans="1:12" s="7" customFormat="1" ht="15.75" x14ac:dyDescent="0.25">
      <c r="A42" s="42" t="s">
        <v>103</v>
      </c>
      <c r="B42" s="43">
        <f t="shared" ref="B42:G42" si="24">B41/B13</f>
        <v>1</v>
      </c>
      <c r="C42" s="43">
        <f t="shared" si="24"/>
        <v>1</v>
      </c>
      <c r="D42" s="43">
        <f t="shared" si="24"/>
        <v>1</v>
      </c>
      <c r="E42" s="43">
        <f t="shared" si="24"/>
        <v>1.0000000674141489</v>
      </c>
      <c r="F42" s="43">
        <f t="shared" si="24"/>
        <v>0.99999995483021731</v>
      </c>
      <c r="G42" s="43">
        <f t="shared" si="24"/>
        <v>0.9999999945032273</v>
      </c>
    </row>
    <row r="43" spans="1:12" s="4" customFormat="1" ht="15.75" x14ac:dyDescent="0.25">
      <c r="A43" s="24" t="s">
        <v>39</v>
      </c>
      <c r="B43" s="26">
        <v>19800</v>
      </c>
      <c r="C43" s="26">
        <v>19800</v>
      </c>
      <c r="D43" s="26">
        <v>19800</v>
      </c>
      <c r="E43" s="62">
        <f>D43</f>
        <v>19800</v>
      </c>
      <c r="F43" s="62">
        <f t="shared" ref="F43:G43" si="25">E43</f>
        <v>19800</v>
      </c>
      <c r="G43" s="62">
        <f t="shared" si="25"/>
        <v>19800</v>
      </c>
    </row>
    <row r="44" spans="1:12" s="4" customFormat="1" ht="15.75" x14ac:dyDescent="0.25">
      <c r="A44" s="24" t="s">
        <v>40</v>
      </c>
      <c r="B44" s="26">
        <v>11.42</v>
      </c>
      <c r="C44" s="26">
        <v>12.39</v>
      </c>
      <c r="D44" s="26">
        <v>21.7</v>
      </c>
      <c r="E44" s="24"/>
      <c r="F44" s="24"/>
      <c r="G44" s="24"/>
    </row>
    <row r="45" spans="1:12" s="4" customFormat="1" ht="15.75" x14ac:dyDescent="0.25">
      <c r="A45" s="24" t="s">
        <v>12</v>
      </c>
      <c r="B45" s="26">
        <v>581.05999999999995</v>
      </c>
      <c r="C45" s="26">
        <v>978.42</v>
      </c>
      <c r="D45" s="26">
        <v>1673.9</v>
      </c>
      <c r="E45" s="24"/>
      <c r="F45" s="24"/>
      <c r="G45" s="24"/>
    </row>
    <row r="46" spans="1:12" x14ac:dyDescent="0.25">
      <c r="A46" s="1"/>
      <c r="B46" s="1"/>
      <c r="C46" s="1"/>
      <c r="D46" s="1"/>
      <c r="E46" s="25"/>
      <c r="F46" s="25"/>
      <c r="G46" s="25"/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L18" sqref="L18"/>
    </sheetView>
  </sheetViews>
  <sheetFormatPr defaultRowHeight="15" x14ac:dyDescent="0.25"/>
  <cols>
    <col min="1" max="1" width="56.85546875" customWidth="1"/>
    <col min="2" max="2" width="10.7109375" customWidth="1"/>
    <col min="3" max="3" width="12.7109375" customWidth="1"/>
    <col min="4" max="4" width="12" customWidth="1"/>
    <col min="5" max="5" width="11.5703125" customWidth="1"/>
    <col min="6" max="6" width="10.5703125" customWidth="1"/>
    <col min="7" max="7" width="10.85546875" customWidth="1"/>
  </cols>
  <sheetData>
    <row r="1" spans="1:19" s="18" customFormat="1" ht="30.75" customHeight="1" x14ac:dyDescent="0.25">
      <c r="A1" s="17"/>
      <c r="B1" s="124" t="s">
        <v>109</v>
      </c>
      <c r="C1" s="124"/>
      <c r="D1" s="124"/>
      <c r="E1" s="124" t="s">
        <v>110</v>
      </c>
      <c r="F1" s="124"/>
      <c r="G1" s="124"/>
    </row>
    <row r="2" spans="1:19" s="21" customFormat="1" ht="18" customHeight="1" x14ac:dyDescent="0.25">
      <c r="A2" s="19"/>
      <c r="B2" s="20">
        <v>44560</v>
      </c>
      <c r="C2" s="20">
        <v>44925</v>
      </c>
      <c r="D2" s="20">
        <v>45290</v>
      </c>
      <c r="E2" s="120">
        <v>45656</v>
      </c>
      <c r="F2" s="120">
        <v>46021</v>
      </c>
      <c r="G2" s="120">
        <v>46386</v>
      </c>
    </row>
    <row r="3" spans="1:19" ht="15.75" x14ac:dyDescent="0.25">
      <c r="A3" s="28" t="s">
        <v>41</v>
      </c>
      <c r="B3" s="29">
        <v>20916.72</v>
      </c>
      <c r="C3" s="29">
        <v>31128.69</v>
      </c>
      <c r="D3" s="29">
        <v>93017.62</v>
      </c>
      <c r="E3" s="30">
        <f>'P&amp;L'!E18</f>
        <v>125891.54267867171</v>
      </c>
      <c r="F3" s="30">
        <f>'P&amp;L'!F18</f>
        <v>134285.11084021855</v>
      </c>
      <c r="G3" s="30">
        <f>'P&amp;L'!G18</f>
        <v>140422.2119015503</v>
      </c>
    </row>
    <row r="4" spans="1:19" ht="15.75" x14ac:dyDescent="0.25">
      <c r="A4" s="28" t="s">
        <v>42</v>
      </c>
      <c r="B4" s="29">
        <v>6462.82</v>
      </c>
      <c r="C4" s="29">
        <v>7666.32</v>
      </c>
      <c r="D4" s="29">
        <v>8079.71</v>
      </c>
      <c r="E4" s="29">
        <f>E5*('P&amp;L'!E3+'P&amp;L'!E11)</f>
        <v>9770.0883358410338</v>
      </c>
      <c r="F4" s="29">
        <f>F5*('P&amp;L'!F3+'P&amp;L'!F11)</f>
        <v>11279.71326176306</v>
      </c>
      <c r="G4" s="29">
        <f>G5*('P&amp;L'!G3+'P&amp;L'!G11)</f>
        <v>12582.084076766074</v>
      </c>
    </row>
    <row r="5" spans="1:19" s="7" customFormat="1" ht="15.75" x14ac:dyDescent="0.25">
      <c r="A5" s="39" t="s">
        <v>120</v>
      </c>
      <c r="B5" s="40">
        <f>B4/('P&amp;L'!B3+'P&amp;L'!B11)</f>
        <v>2.9966482323386529E-2</v>
      </c>
      <c r="C5" s="40">
        <f>C4/('P&amp;L'!C3+'P&amp;L'!C11)</f>
        <v>2.7090219492645326E-2</v>
      </c>
      <c r="D5" s="40">
        <f>D4/('P&amp;L'!D3+'P&amp;L'!D11)</f>
        <v>1.5647583173085098E-2</v>
      </c>
      <c r="E5" s="40">
        <f>D5-0.1%</f>
        <v>1.4647583173085097E-2</v>
      </c>
      <c r="F5" s="40">
        <f t="shared" ref="F5:G5" si="0">E5-0.1%</f>
        <v>1.3647583173085096E-2</v>
      </c>
      <c r="G5" s="40">
        <f t="shared" si="0"/>
        <v>1.2647583173085095E-2</v>
      </c>
    </row>
    <row r="6" spans="1:19" ht="15.75" x14ac:dyDescent="0.25">
      <c r="A6" s="28" t="s">
        <v>43</v>
      </c>
      <c r="B6" s="29">
        <v>1564.88</v>
      </c>
      <c r="C6" s="29">
        <v>2005.62</v>
      </c>
      <c r="D6" s="29">
        <v>3094.46</v>
      </c>
      <c r="E6" s="29">
        <f>E7*('P&amp;L'!E3+'P&amp;L'!E11)</f>
        <v>3330.3094575759578</v>
      </c>
      <c r="F6" s="29">
        <f>F7*('P&amp;L'!F3+'P&amp;L'!F11)</f>
        <v>3300.1201338376495</v>
      </c>
      <c r="G6" s="29">
        <f>G7*('P&amp;L'!G3+'P&amp;L'!G11)</f>
        <v>2977.3913277850747</v>
      </c>
    </row>
    <row r="7" spans="1:19" s="7" customFormat="1" ht="15.75" x14ac:dyDescent="0.25">
      <c r="A7" s="39" t="s">
        <v>121</v>
      </c>
      <c r="B7" s="40">
        <f>B6/('P&amp;L'!B3+'P&amp;L'!B11)</f>
        <v>7.2559577488187999E-3</v>
      </c>
      <c r="C7" s="40">
        <f>C6/('P&amp;L'!C3+'P&amp;L'!C11)</f>
        <v>7.0871925537727776E-3</v>
      </c>
      <c r="D7" s="40">
        <f>D6/('P&amp;L'!D3+'P&amp;L'!D11)</f>
        <v>5.9928908618978793E-3</v>
      </c>
      <c r="E7" s="40">
        <f>D7-0.1%</f>
        <v>4.9928908618978793E-3</v>
      </c>
      <c r="F7" s="40">
        <f t="shared" ref="F7:G7" si="1">E7-0.1%</f>
        <v>3.9928908618978793E-3</v>
      </c>
      <c r="G7" s="40">
        <f t="shared" si="1"/>
        <v>2.9928908618978792E-3</v>
      </c>
    </row>
    <row r="8" spans="1:19" ht="15.75" x14ac:dyDescent="0.25">
      <c r="A8" s="28" t="s">
        <v>44</v>
      </c>
      <c r="B8" s="31">
        <v>-90448.56</v>
      </c>
      <c r="C8" s="31">
        <v>-113876.61</v>
      </c>
      <c r="D8" s="31">
        <v>-240062.44</v>
      </c>
      <c r="E8" s="31">
        <f>E9*('P&amp;L'!E3+'P&amp;L'!E11)</f>
        <v>-326779.87135713705</v>
      </c>
      <c r="F8" s="31">
        <f>F9*('P&amp;L'!F3+'P&amp;L'!F11)</f>
        <v>-425578.61548220343</v>
      </c>
      <c r="G8" s="31">
        <f>G9*('P&amp;L'!G3+'P&amp;L'!G11)</f>
        <v>-537121.18990019907</v>
      </c>
    </row>
    <row r="9" spans="1:19" s="7" customFormat="1" ht="15.75" x14ac:dyDescent="0.25">
      <c r="A9" s="39" t="s">
        <v>122</v>
      </c>
      <c r="B9" s="41">
        <f>B8/('P&amp;L'!B3+'P&amp;L'!B11)</f>
        <v>-0.41938738420933369</v>
      </c>
      <c r="C9" s="41">
        <f>C8/('P&amp;L'!C3+'P&amp;L'!C11)</f>
        <v>-0.40240198165200119</v>
      </c>
      <c r="D9" s="41">
        <f>D8/('P&amp;L'!D3+'P&amp;L'!D11)</f>
        <v>-0.46491730478368049</v>
      </c>
      <c r="E9" s="41">
        <f>D9-2.5%</f>
        <v>-0.48991730478368051</v>
      </c>
      <c r="F9" s="40">
        <f t="shared" ref="F9:G9" si="2">E9-2.5%</f>
        <v>-0.51491730478368047</v>
      </c>
      <c r="G9" s="40">
        <f t="shared" si="2"/>
        <v>-0.5399173047836805</v>
      </c>
    </row>
    <row r="10" spans="1:19" ht="15.75" x14ac:dyDescent="0.25">
      <c r="A10" s="28" t="s">
        <v>45</v>
      </c>
      <c r="B10" s="29">
        <v>291099.09000000003</v>
      </c>
      <c r="C10" s="29">
        <v>125937.22</v>
      </c>
      <c r="D10" s="29">
        <v>488019.77</v>
      </c>
      <c r="E10" s="29">
        <f>E11*('P&amp;L'!E3+'P&amp;L'!E11)</f>
        <v>563706.55726317037</v>
      </c>
      <c r="F10" s="29">
        <f>F11*('P&amp;L'!F3+'P&amp;L'!F11)</f>
        <v>615844.42458074261</v>
      </c>
      <c r="G10" s="29">
        <f>G11*('P&amp;L'!G3+'P&amp;L'!G11)</f>
        <v>641783.30185271672</v>
      </c>
    </row>
    <row r="11" spans="1:19" s="7" customFormat="1" ht="15.75" x14ac:dyDescent="0.25">
      <c r="A11" s="39" t="s">
        <v>123</v>
      </c>
      <c r="B11" s="41">
        <f>B10/('P&amp;L'!B3+'P&amp;L'!B11)</f>
        <v>1.3497537816060026</v>
      </c>
      <c r="C11" s="41">
        <f>C10/('P&amp;L'!C3+'P&amp;L'!C11)</f>
        <v>0.44502015727148919</v>
      </c>
      <c r="D11" s="41">
        <f>D10/('P&amp;L'!D3+'P&amp;L'!D11)</f>
        <v>0.94512426079461509</v>
      </c>
      <c r="E11" s="40">
        <f>D11-10%</f>
        <v>0.84512426079461511</v>
      </c>
      <c r="F11" s="40">
        <f t="shared" ref="F11:G11" si="3">E11-10%</f>
        <v>0.74512426079461513</v>
      </c>
      <c r="G11" s="40">
        <f t="shared" si="3"/>
        <v>0.64512426079461516</v>
      </c>
    </row>
    <row r="12" spans="1:19" s="2" customFormat="1" ht="15.75" x14ac:dyDescent="0.25">
      <c r="A12" s="32" t="s">
        <v>46</v>
      </c>
      <c r="B12" s="33">
        <v>229594.95</v>
      </c>
      <c r="C12" s="33">
        <v>52861.24</v>
      </c>
      <c r="D12" s="33">
        <v>352149.12</v>
      </c>
      <c r="E12" s="33">
        <f>D12+34283.62</f>
        <v>386432.74</v>
      </c>
      <c r="F12" s="33">
        <f t="shared" ref="F12:G12" si="4">E12+34283.62</f>
        <v>420716.36</v>
      </c>
      <c r="G12" s="33">
        <f t="shared" si="4"/>
        <v>454999.98</v>
      </c>
    </row>
    <row r="13" spans="1:19" ht="15.75" x14ac:dyDescent="0.25">
      <c r="A13" s="28" t="s">
        <v>47</v>
      </c>
      <c r="B13" s="31">
        <v>-8484.0400000000009</v>
      </c>
      <c r="C13" s="31">
        <v>-16362.79</v>
      </c>
      <c r="D13" s="31">
        <v>-17514.52</v>
      </c>
      <c r="E13" s="31">
        <f>E14*('P&amp;L'!E3+'P&amp;L'!E11)</f>
        <v>-22624.669968196431</v>
      </c>
      <c r="F13" s="31">
        <f>F14*('P&amp;L'!F3+'P&amp;L'!F11)</f>
        <v>-28034.450314610538</v>
      </c>
      <c r="G13" s="31">
        <f>G14*('P&amp;L'!G3+'P&amp;L'!G11)</f>
        <v>-33743.861039242314</v>
      </c>
    </row>
    <row r="14" spans="1:19" s="7" customFormat="1" ht="15.75" x14ac:dyDescent="0.25">
      <c r="A14" s="39" t="s">
        <v>124</v>
      </c>
      <c r="B14" s="40">
        <f>B13/('P&amp;L'!B3+'P&amp;L'!B11)</f>
        <v>-3.933837468642238E-2</v>
      </c>
      <c r="C14" s="40">
        <f>C13/('P&amp;L'!C3+'P&amp;L'!C11)</f>
        <v>-5.7820645709031462E-2</v>
      </c>
      <c r="D14" s="40">
        <f>D13/('P&amp;L'!D3+'P&amp;L'!D11)</f>
        <v>-3.3919522908206164E-2</v>
      </c>
      <c r="E14" s="40">
        <f>D14</f>
        <v>-3.3919522908206164E-2</v>
      </c>
      <c r="F14" s="40">
        <f t="shared" ref="F14:G14" si="5">E14</f>
        <v>-3.3919522908206164E-2</v>
      </c>
      <c r="G14" s="40">
        <f t="shared" si="5"/>
        <v>-3.3919522908206164E-2</v>
      </c>
      <c r="Q14" s="7">
        <v>491511.99731713312</v>
      </c>
      <c r="R14" s="7">
        <v>443876.36463426618</v>
      </c>
      <c r="S14" s="7">
        <v>345112.87195139925</v>
      </c>
    </row>
    <row r="15" spans="1:19" ht="15.75" x14ac:dyDescent="0.25">
      <c r="A15" s="28" t="s">
        <v>48</v>
      </c>
      <c r="B15" s="31">
        <v>7106.71</v>
      </c>
      <c r="C15" s="31">
        <v>-172211.02</v>
      </c>
      <c r="D15" s="31">
        <v>-206630.66</v>
      </c>
      <c r="E15" s="31">
        <f>E16*('P&amp;L'!E3+'P&amp;L'!E11)</f>
        <v>-253578.35642843595</v>
      </c>
      <c r="F15" s="31">
        <f>F16*('P&amp;L'!F3+'P&amp;L'!F11)</f>
        <v>-297681.44776815071</v>
      </c>
      <c r="G15" s="31">
        <f>G16*('P&amp;L'!G3+'P&amp;L'!G11)</f>
        <v>-338409.91999914439</v>
      </c>
    </row>
    <row r="16" spans="1:19" s="7" customFormat="1" ht="15.75" x14ac:dyDescent="0.25">
      <c r="A16" s="39" t="s">
        <v>127</v>
      </c>
      <c r="B16" s="41">
        <f>B15/('P&amp;L'!B3+'P&amp;L'!B11)</f>
        <v>3.295203944910028E-2</v>
      </c>
      <c r="C16" s="41">
        <f>C15/('P&amp;L'!C3+'P&amp;L'!C11)</f>
        <v>-0.60853634218925567</v>
      </c>
      <c r="D16" s="41">
        <f>D15/('P&amp;L'!D3+'P&amp;L'!D11)</f>
        <v>-0.40017159507698519</v>
      </c>
      <c r="E16" s="41">
        <f>D16+2%</f>
        <v>-0.38017159507698517</v>
      </c>
      <c r="F16" s="41">
        <f t="shared" ref="F16:G16" si="6">E16+2%</f>
        <v>-0.36017159507698515</v>
      </c>
      <c r="G16" s="41">
        <f t="shared" si="6"/>
        <v>-0.34017159507698513</v>
      </c>
    </row>
    <row r="17" spans="1:7" s="2" customFormat="1" ht="15.75" x14ac:dyDescent="0.25">
      <c r="A17" s="32" t="s">
        <v>49</v>
      </c>
      <c r="B17" s="34">
        <v>-1377.33</v>
      </c>
      <c r="C17" s="34">
        <v>-188573.81</v>
      </c>
      <c r="D17" s="34">
        <v>-224145.18</v>
      </c>
      <c r="E17" s="34">
        <f>D17-121951.7</f>
        <v>-346096.88</v>
      </c>
      <c r="F17" s="34">
        <f t="shared" ref="F17:G17" si="7">E17-121951.7</f>
        <v>-468048.58</v>
      </c>
      <c r="G17" s="34">
        <f t="shared" si="7"/>
        <v>-590000.28</v>
      </c>
    </row>
    <row r="18" spans="1:7" ht="15.75" x14ac:dyDescent="0.25">
      <c r="A18" s="28" t="s">
        <v>50</v>
      </c>
      <c r="B18" s="31">
        <v>5700</v>
      </c>
      <c r="C18" s="31">
        <v>0</v>
      </c>
      <c r="D18" s="31">
        <v>31816.83</v>
      </c>
      <c r="E18" s="31">
        <f>E19*('P&amp;L'!E3+'P&amp;L'!E11)</f>
        <v>44434.966035530553</v>
      </c>
      <c r="F18" s="31">
        <f>F19*('P&amp;L'!F3+'P&amp;L'!F11)</f>
        <v>59192.296732862087</v>
      </c>
      <c r="G18" s="31">
        <f>G19*('P&amp;L'!G3+'P&amp;L'!G11)</f>
        <v>76221.325596994604</v>
      </c>
    </row>
    <row r="19" spans="1:7" s="7" customFormat="1" ht="15.75" x14ac:dyDescent="0.25">
      <c r="A19" s="39" t="s">
        <v>125</v>
      </c>
      <c r="B19" s="40">
        <f>B18/('P&amp;L'!B3+'P&amp;L'!B11)</f>
        <v>2.6429476489102779E-2</v>
      </c>
      <c r="C19" s="40">
        <f>C18/('P&amp;L'!C3+'P&amp;L'!C11)</f>
        <v>0</v>
      </c>
      <c r="D19" s="40">
        <f>D18/('P&amp;L'!D3+'P&amp;L'!D11)</f>
        <v>6.1618114230450001E-2</v>
      </c>
      <c r="E19" s="40">
        <f>D19+0.5%</f>
        <v>6.6618114230449998E-2</v>
      </c>
      <c r="F19" s="40">
        <f t="shared" ref="F19:G19" si="8">E19+0.5%</f>
        <v>7.1618114230450003E-2</v>
      </c>
      <c r="G19" s="40">
        <f t="shared" si="8"/>
        <v>7.6618114230450007E-2</v>
      </c>
    </row>
    <row r="20" spans="1:7" ht="15.75" x14ac:dyDescent="0.25">
      <c r="A20" s="28" t="s">
        <v>51</v>
      </c>
      <c r="B20" s="31">
        <v>-2984.81</v>
      </c>
      <c r="C20" s="31">
        <v>-3995.42</v>
      </c>
      <c r="D20" s="31">
        <v>-4950.68</v>
      </c>
      <c r="E20" s="31">
        <f>'P&amp;L'!E20*E21</f>
        <v>-6707.6644140801909</v>
      </c>
      <c r="F20" s="31">
        <f>'P&amp;L'!F20*F21</f>
        <v>-7156.2682689504063</v>
      </c>
      <c r="G20" s="31">
        <f>'P&amp;L'!G20*G21</f>
        <v>-7484.2726576505911</v>
      </c>
    </row>
    <row r="21" spans="1:7" s="7" customFormat="1" ht="15.75" x14ac:dyDescent="0.25">
      <c r="A21" s="39" t="s">
        <v>126</v>
      </c>
      <c r="B21" s="40">
        <f>B20/'P&amp;L'!B20</f>
        <v>-0.14413397731761424</v>
      </c>
      <c r="C21" s="40">
        <f>C20/'P&amp;L'!C20</f>
        <v>-0.12929847981036061</v>
      </c>
      <c r="D21" s="40">
        <f>D20/'P&amp;L'!D20</f>
        <v>-5.3446144266199945E-2</v>
      </c>
      <c r="E21" s="40">
        <f>D21</f>
        <v>-5.3446144266199945E-2</v>
      </c>
      <c r="F21" s="40">
        <f t="shared" ref="F21:G21" si="9">E21</f>
        <v>-5.3446144266199945E-2</v>
      </c>
      <c r="G21" s="40">
        <f t="shared" si="9"/>
        <v>-5.3446144266199945E-2</v>
      </c>
    </row>
    <row r="22" spans="1:7" ht="15.75" x14ac:dyDescent="0.25">
      <c r="A22" s="28" t="s">
        <v>52</v>
      </c>
      <c r="B22" s="31">
        <v>-104202.47</v>
      </c>
      <c r="C22" s="31">
        <v>7836.07</v>
      </c>
      <c r="D22" s="31">
        <v>-21021.93</v>
      </c>
      <c r="E22" s="31">
        <f>E23*'P&amp;L'!E20</f>
        <v>-27227.529923493403</v>
      </c>
      <c r="F22" s="31">
        <f>F23*'P&amp;L'!F20</f>
        <v>-27709.519771281426</v>
      </c>
      <c r="G22" s="31">
        <f>G23*'P&amp;L'!G20</f>
        <v>-27579.23422658335</v>
      </c>
    </row>
    <row r="23" spans="1:7" s="7" customFormat="1" ht="15.75" x14ac:dyDescent="0.25">
      <c r="A23" s="39" t="s">
        <v>128</v>
      </c>
      <c r="B23" s="40">
        <f>B22/'P&amp;L'!B20</f>
        <v>-5.0318500833953843</v>
      </c>
      <c r="C23" s="40">
        <f>C22/'P&amp;L'!C20</f>
        <v>0.25358834332500019</v>
      </c>
      <c r="D23" s="40">
        <f>D22/'P&amp;L'!D20</f>
        <v>-0.22694682418050785</v>
      </c>
      <c r="E23" s="41">
        <f>D23+1%</f>
        <v>-0.21694682418050784</v>
      </c>
      <c r="F23" s="41">
        <f t="shared" ref="F23:G23" si="10">E23+1%</f>
        <v>-0.20694682418050783</v>
      </c>
      <c r="G23" s="41">
        <f t="shared" si="10"/>
        <v>-0.19694682418050782</v>
      </c>
    </row>
    <row r="24" spans="1:7" s="2" customFormat="1" ht="15.75" x14ac:dyDescent="0.25">
      <c r="A24" s="32" t="s">
        <v>53</v>
      </c>
      <c r="B24" s="34">
        <v>-101487.28</v>
      </c>
      <c r="C24" s="34">
        <v>3840.65</v>
      </c>
      <c r="D24" s="34">
        <v>5844.23</v>
      </c>
      <c r="E24" s="34">
        <f>D24+2052</f>
        <v>7896.23</v>
      </c>
      <c r="F24" s="34">
        <f t="shared" ref="F24:G24" si="11">E24+2052</f>
        <v>9948.23</v>
      </c>
      <c r="G24" s="34">
        <f t="shared" si="11"/>
        <v>12000.23</v>
      </c>
    </row>
    <row r="25" spans="1:7" ht="15.75" x14ac:dyDescent="0.25">
      <c r="A25" s="28" t="s">
        <v>54</v>
      </c>
      <c r="B25" s="31">
        <v>14884.89</v>
      </c>
      <c r="C25" s="31">
        <v>16652.98</v>
      </c>
      <c r="D25" s="31">
        <v>197849.57</v>
      </c>
      <c r="E25" s="29">
        <f>D25</f>
        <v>197849.57</v>
      </c>
      <c r="F25" s="29">
        <f t="shared" ref="F25:G25" si="12">E25</f>
        <v>197849.57</v>
      </c>
      <c r="G25" s="29">
        <f t="shared" si="12"/>
        <v>197849.57</v>
      </c>
    </row>
    <row r="26" spans="1:7" s="4" customFormat="1" ht="15.75" x14ac:dyDescent="0.25">
      <c r="A26" s="32" t="s">
        <v>55</v>
      </c>
      <c r="B26" s="34">
        <v>141615.23000000001</v>
      </c>
      <c r="C26" s="34">
        <v>-115218.95</v>
      </c>
      <c r="D26" s="34">
        <v>331697.74</v>
      </c>
      <c r="E26" s="33">
        <f>E12+E17+E24+E25</f>
        <v>246081.65999999997</v>
      </c>
      <c r="F26" s="33">
        <f>F12+F17+F24+F25</f>
        <v>160465.57999999996</v>
      </c>
      <c r="G26" s="33">
        <f>G12+G17+G24+G25</f>
        <v>74849.499999999956</v>
      </c>
    </row>
    <row r="27" spans="1:7" x14ac:dyDescent="0.25">
      <c r="B27" s="3"/>
      <c r="C27" s="3"/>
      <c r="D27" s="3"/>
      <c r="E27" s="3"/>
      <c r="F27" s="3"/>
      <c r="G27" s="3"/>
    </row>
  </sheetData>
  <mergeCells count="2">
    <mergeCell ref="B1:D1"/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G36" sqref="G36"/>
    </sheetView>
  </sheetViews>
  <sheetFormatPr defaultRowHeight="15" x14ac:dyDescent="0.25"/>
  <cols>
    <col min="1" max="1" width="48.140625" customWidth="1"/>
    <col min="2" max="2" width="15.42578125" customWidth="1"/>
    <col min="3" max="3" width="17.7109375" customWidth="1"/>
    <col min="4" max="4" width="12.85546875" customWidth="1"/>
    <col min="5" max="5" width="14" customWidth="1"/>
  </cols>
  <sheetData>
    <row r="1" spans="1:5" x14ac:dyDescent="0.25">
      <c r="A1" s="14" t="s">
        <v>97</v>
      </c>
      <c r="B1" s="1"/>
      <c r="C1" s="1"/>
      <c r="D1" s="1"/>
      <c r="E1" s="1"/>
    </row>
    <row r="2" spans="1:5" x14ac:dyDescent="0.25">
      <c r="A2" s="1" t="s">
        <v>57</v>
      </c>
      <c r="B2" s="1"/>
      <c r="C2" s="1"/>
      <c r="D2" s="1"/>
      <c r="E2" s="1"/>
    </row>
    <row r="3" spans="1:5" ht="15.75" thickBot="1" x14ac:dyDescent="0.3">
      <c r="A3" s="15"/>
      <c r="B3" s="1"/>
      <c r="C3" s="1"/>
      <c r="D3" s="1"/>
      <c r="E3" s="1"/>
    </row>
    <row r="4" spans="1:5" x14ac:dyDescent="0.25">
      <c r="A4" s="16"/>
      <c r="B4" s="1"/>
      <c r="C4" s="1"/>
      <c r="D4" s="1"/>
      <c r="E4" s="1"/>
    </row>
    <row r="5" spans="1:5" ht="15.75" x14ac:dyDescent="0.25">
      <c r="A5" s="65" t="s">
        <v>58</v>
      </c>
      <c r="B5" s="66"/>
      <c r="C5" s="66"/>
      <c r="D5" s="66"/>
      <c r="E5" s="66"/>
    </row>
    <row r="6" spans="1:5" s="35" customFormat="1" ht="15.75" x14ac:dyDescent="0.25">
      <c r="A6" s="67" t="s">
        <v>59</v>
      </c>
      <c r="B6" s="122">
        <v>45290</v>
      </c>
      <c r="C6" s="123">
        <v>45656</v>
      </c>
      <c r="D6" s="123">
        <v>46021</v>
      </c>
      <c r="E6" s="123">
        <v>46386</v>
      </c>
    </row>
    <row r="7" spans="1:5" ht="15.75" x14ac:dyDescent="0.25">
      <c r="A7" s="68" t="s">
        <v>60</v>
      </c>
      <c r="B7" s="69"/>
      <c r="C7" s="70">
        <f>'P&amp;L'!E3+'P&amp;L'!E11</f>
        <v>667010.26513326447</v>
      </c>
      <c r="D7" s="70">
        <f>'P&amp;L'!F3+'P&amp;L'!F11</f>
        <v>826498.95726652897</v>
      </c>
      <c r="E7" s="70">
        <f>'P&amp;L'!G3+'P&amp;L'!G11</f>
        <v>994821.21639979351</v>
      </c>
    </row>
    <row r="8" spans="1:5" ht="15.75" x14ac:dyDescent="0.25">
      <c r="A8" s="68" t="s">
        <v>131</v>
      </c>
      <c r="B8" s="69"/>
      <c r="C8" s="70">
        <f>'P&amp;L'!E5+'P&amp;L'!E8-'P&amp;L'!E13</f>
        <v>522424.51530711085</v>
      </c>
      <c r="D8" s="70">
        <f>'P&amp;L'!F5+'P&amp;L'!F8-'P&amp;L'!F13</f>
        <v>668647.40733188624</v>
      </c>
      <c r="E8" s="70">
        <f>'P&amp;L'!G5+'P&amp;L'!G8-'P&amp;L'!G13</f>
        <v>825781.42095171707</v>
      </c>
    </row>
    <row r="9" spans="1:5" ht="15.75" x14ac:dyDescent="0.25">
      <c r="A9" s="71" t="s">
        <v>129</v>
      </c>
      <c r="B9" s="72"/>
      <c r="C9" s="73">
        <f>Cashflow!E4+Cashflow!E6</f>
        <v>13100.397793416992</v>
      </c>
      <c r="D9" s="73">
        <f>Cashflow!F4+Cashflow!F6</f>
        <v>14579.833395600708</v>
      </c>
      <c r="E9" s="73">
        <f>Cashflow!G4+Cashflow!G6</f>
        <v>15559.475404551149</v>
      </c>
    </row>
    <row r="10" spans="1:5" ht="15.75" x14ac:dyDescent="0.25">
      <c r="A10" s="74" t="s">
        <v>61</v>
      </c>
      <c r="B10" s="75"/>
      <c r="C10" s="76">
        <f>C7-C8-C9</f>
        <v>131485.35203273664</v>
      </c>
      <c r="D10" s="76">
        <f t="shared" ref="D10:E10" si="0">D7-D8-D9</f>
        <v>143271.71653904204</v>
      </c>
      <c r="E10" s="76">
        <f t="shared" si="0"/>
        <v>153480.32004352531</v>
      </c>
    </row>
    <row r="11" spans="1:5" ht="15.75" x14ac:dyDescent="0.25">
      <c r="A11" s="71" t="s">
        <v>62</v>
      </c>
      <c r="B11" s="72"/>
      <c r="C11" s="77">
        <f>'P&amp;L'!E16</f>
        <v>18694.207147481877</v>
      </c>
      <c r="D11" s="77">
        <f>'P&amp;L'!F16</f>
        <v>23566.439094424237</v>
      </c>
      <c r="E11" s="77">
        <f>'P&amp;L'!G16</f>
        <v>28617.583546526275</v>
      </c>
    </row>
    <row r="12" spans="1:5" ht="15.75" x14ac:dyDescent="0.25">
      <c r="A12" s="74" t="s">
        <v>63</v>
      </c>
      <c r="B12" s="75"/>
      <c r="C12" s="76">
        <f>C10-C11</f>
        <v>112791.14488525476</v>
      </c>
      <c r="D12" s="76">
        <f t="shared" ref="D12:E12" si="1">D10-D11</f>
        <v>119705.27744461781</v>
      </c>
      <c r="E12" s="76">
        <f t="shared" si="1"/>
        <v>124862.73649699903</v>
      </c>
    </row>
    <row r="13" spans="1:5" ht="15.75" x14ac:dyDescent="0.25">
      <c r="A13" s="71" t="s">
        <v>130</v>
      </c>
      <c r="B13" s="72"/>
      <c r="C13" s="77">
        <f>C9</f>
        <v>13100.397793416992</v>
      </c>
      <c r="D13" s="77">
        <f t="shared" ref="D13:E13" si="2">D9</f>
        <v>14579.833395600708</v>
      </c>
      <c r="E13" s="77">
        <f t="shared" si="2"/>
        <v>15559.475404551149</v>
      </c>
    </row>
    <row r="14" spans="1:5" ht="16.5" thickBot="1" x14ac:dyDescent="0.3">
      <c r="A14" s="78" t="s">
        <v>64</v>
      </c>
      <c r="B14" s="79"/>
      <c r="C14" s="80">
        <f>C12+C13</f>
        <v>125891.54267867176</v>
      </c>
      <c r="D14" s="80">
        <f t="shared" ref="D14:E14" si="3">D12+D13</f>
        <v>134285.11084021852</v>
      </c>
      <c r="E14" s="80">
        <f t="shared" si="3"/>
        <v>140422.21190155018</v>
      </c>
    </row>
    <row r="15" spans="1:5" ht="16.5" thickTop="1" x14ac:dyDescent="0.25">
      <c r="A15" s="81"/>
      <c r="B15" s="81"/>
      <c r="C15" s="82"/>
      <c r="D15" s="82"/>
      <c r="E15" s="82"/>
    </row>
    <row r="16" spans="1:5" ht="15.75" x14ac:dyDescent="0.25">
      <c r="A16" s="67" t="s">
        <v>65</v>
      </c>
      <c r="B16" s="83"/>
      <c r="C16" s="84"/>
      <c r="D16" s="84"/>
      <c r="E16" s="84"/>
    </row>
    <row r="17" spans="1:5" ht="15.75" x14ac:dyDescent="0.25">
      <c r="A17" s="68" t="s">
        <v>66</v>
      </c>
      <c r="B17" s="69"/>
      <c r="C17" s="85">
        <f>Cashflow!E13</f>
        <v>-22624.669968196431</v>
      </c>
      <c r="D17" s="85">
        <f>Cashflow!F13</f>
        <v>-28034.450314610538</v>
      </c>
      <c r="E17" s="85">
        <f>Cashflow!G13</f>
        <v>-33743.861039242314</v>
      </c>
    </row>
    <row r="18" spans="1:5" ht="15.75" x14ac:dyDescent="0.25">
      <c r="A18" s="86" t="s">
        <v>67</v>
      </c>
      <c r="B18" s="85">
        <f>Cashflow!D10</f>
        <v>488019.77</v>
      </c>
      <c r="C18" s="85">
        <f>Cashflow!E10</f>
        <v>563706.55726317037</v>
      </c>
      <c r="D18" s="85">
        <f>Cashflow!F10</f>
        <v>615844.42458074261</v>
      </c>
      <c r="E18" s="85">
        <f>Cashflow!G10</f>
        <v>641783.30185271672</v>
      </c>
    </row>
    <row r="19" spans="1:5" ht="15.75" x14ac:dyDescent="0.25">
      <c r="A19" s="71" t="s">
        <v>68</v>
      </c>
      <c r="B19" s="87"/>
      <c r="C19" s="77">
        <f>C18-B18</f>
        <v>75686.78726317035</v>
      </c>
      <c r="D19" s="77">
        <f t="shared" ref="D19:E19" si="4">D18-C18</f>
        <v>52137.867317572236</v>
      </c>
      <c r="E19" s="77">
        <f t="shared" si="4"/>
        <v>25938.87727197411</v>
      </c>
    </row>
    <row r="20" spans="1:5" ht="16.5" thickBot="1" x14ac:dyDescent="0.3">
      <c r="A20" s="78" t="s">
        <v>65</v>
      </c>
      <c r="B20" s="88"/>
      <c r="C20" s="80">
        <f>C17+C19</f>
        <v>53062.117294973919</v>
      </c>
      <c r="D20" s="80">
        <f t="shared" ref="D20:E20" si="5">D17+D19</f>
        <v>24103.417002961698</v>
      </c>
      <c r="E20" s="80">
        <f t="shared" si="5"/>
        <v>-7804.9837672682042</v>
      </c>
    </row>
    <row r="21" spans="1:5" ht="16.5" thickTop="1" x14ac:dyDescent="0.25">
      <c r="A21" s="81"/>
      <c r="B21" s="81"/>
      <c r="C21" s="81"/>
      <c r="D21" s="81"/>
      <c r="E21" s="81"/>
    </row>
    <row r="22" spans="1:5" s="35" customFormat="1" ht="15.75" x14ac:dyDescent="0.25">
      <c r="A22" s="89" t="s">
        <v>69</v>
      </c>
      <c r="B22" s="122">
        <v>45290</v>
      </c>
      <c r="C22" s="123">
        <v>45656</v>
      </c>
      <c r="D22" s="123">
        <v>46021</v>
      </c>
      <c r="E22" s="123">
        <v>46386</v>
      </c>
    </row>
    <row r="23" spans="1:5" ht="16.5" thickBot="1" x14ac:dyDescent="0.3">
      <c r="A23" s="78" t="s">
        <v>70</v>
      </c>
      <c r="B23" s="90"/>
      <c r="C23" s="80">
        <f>C14-C20</f>
        <v>72829.425383697846</v>
      </c>
      <c r="D23" s="80">
        <f t="shared" ref="D23:E23" si="6">D14-D20</f>
        <v>110181.69383725683</v>
      </c>
      <c r="E23" s="80">
        <f t="shared" si="6"/>
        <v>148227.19566881837</v>
      </c>
    </row>
    <row r="24" spans="1:5" ht="16.5" thickTop="1" x14ac:dyDescent="0.25">
      <c r="A24" s="81"/>
      <c r="B24" s="81"/>
      <c r="C24" s="81"/>
      <c r="D24" s="81"/>
      <c r="E24" s="81"/>
    </row>
    <row r="25" spans="1:5" ht="15.75" x14ac:dyDescent="0.25">
      <c r="A25" s="89" t="s">
        <v>71</v>
      </c>
      <c r="B25" s="91" t="s">
        <v>72</v>
      </c>
      <c r="C25" s="81"/>
      <c r="D25" s="81"/>
      <c r="E25" s="81"/>
    </row>
    <row r="26" spans="1:5" ht="15.75" x14ac:dyDescent="0.25">
      <c r="A26" s="68" t="s">
        <v>73</v>
      </c>
      <c r="B26" s="92">
        <v>0.08</v>
      </c>
      <c r="C26" s="81" t="s">
        <v>95</v>
      </c>
      <c r="D26" s="81" t="s">
        <v>155</v>
      </c>
      <c r="E26" s="81"/>
    </row>
    <row r="27" spans="1:5" ht="15.75" x14ac:dyDescent="0.25">
      <c r="A27" s="68" t="s">
        <v>74</v>
      </c>
      <c r="B27" s="92">
        <v>0.02</v>
      </c>
      <c r="C27" s="81" t="s">
        <v>75</v>
      </c>
      <c r="D27" s="81"/>
      <c r="E27" s="93"/>
    </row>
    <row r="28" spans="1:5" ht="15.75" x14ac:dyDescent="0.25">
      <c r="A28" s="68" t="s">
        <v>76</v>
      </c>
      <c r="B28" s="92">
        <v>6.3E-2</v>
      </c>
      <c r="C28" s="81" t="s">
        <v>75</v>
      </c>
      <c r="D28" s="81"/>
      <c r="E28" s="81"/>
    </row>
    <row r="29" spans="1:5" ht="15.75" x14ac:dyDescent="0.25">
      <c r="A29" s="68" t="s">
        <v>77</v>
      </c>
      <c r="B29" s="92">
        <v>0.15</v>
      </c>
      <c r="C29" s="81" t="s">
        <v>75</v>
      </c>
      <c r="D29" s="81"/>
      <c r="E29" s="81"/>
    </row>
    <row r="30" spans="1:5" ht="16.5" thickBot="1" x14ac:dyDescent="0.3">
      <c r="A30" s="78" t="s">
        <v>78</v>
      </c>
      <c r="B30" s="94">
        <f>B27*(1-B26)*B29+B28*(1-B29)</f>
        <v>5.6309999999999999E-2</v>
      </c>
      <c r="C30" s="81"/>
      <c r="D30" s="81"/>
      <c r="E30" s="81"/>
    </row>
    <row r="31" spans="1:5" ht="16.5" thickTop="1" x14ac:dyDescent="0.25">
      <c r="A31" s="81"/>
      <c r="B31" s="81"/>
      <c r="C31" s="81"/>
      <c r="D31" s="81"/>
      <c r="E31" s="81"/>
    </row>
    <row r="32" spans="1:5" s="35" customFormat="1" ht="15.75" x14ac:dyDescent="0.25">
      <c r="A32" s="89" t="s">
        <v>79</v>
      </c>
      <c r="B32" s="122">
        <v>45290</v>
      </c>
      <c r="C32" s="123">
        <v>45656</v>
      </c>
      <c r="D32" s="123">
        <v>46021</v>
      </c>
      <c r="E32" s="123">
        <v>46386</v>
      </c>
    </row>
    <row r="33" spans="1:5" ht="15.75" x14ac:dyDescent="0.25">
      <c r="A33" s="68" t="s">
        <v>80</v>
      </c>
      <c r="B33" s="95"/>
      <c r="C33" s="96">
        <v>1</v>
      </c>
      <c r="D33" s="96">
        <v>2</v>
      </c>
      <c r="E33" s="96">
        <v>3</v>
      </c>
    </row>
    <row r="34" spans="1:5" ht="15.75" x14ac:dyDescent="0.25">
      <c r="A34" s="71" t="s">
        <v>81</v>
      </c>
      <c r="B34" s="97"/>
      <c r="C34" s="98">
        <f>1/(1+$B$30)^C33</f>
        <v>0.9466917855553767</v>
      </c>
      <c r="D34" s="98">
        <f t="shared" ref="D34:E34" si="7">1/(1+$B$30)^D33</f>
        <v>0.8962253368380273</v>
      </c>
      <c r="E34" s="98">
        <f t="shared" si="7"/>
        <v>0.84844916439116103</v>
      </c>
    </row>
    <row r="35" spans="1:5" ht="16.5" thickBot="1" x14ac:dyDescent="0.3">
      <c r="A35" s="78" t="s">
        <v>82</v>
      </c>
      <c r="B35" s="99"/>
      <c r="C35" s="80">
        <f>C23*C34</f>
        <v>68947.01875746499</v>
      </c>
      <c r="D35" s="80">
        <f t="shared" ref="D35:E35" si="8">D23*D34</f>
        <v>98747.625672679889</v>
      </c>
      <c r="E35" s="80">
        <f t="shared" si="8"/>
        <v>125763.24030525408</v>
      </c>
    </row>
    <row r="36" spans="1:5" ht="16.5" thickTop="1" x14ac:dyDescent="0.25">
      <c r="A36" s="81"/>
      <c r="B36" s="81"/>
      <c r="C36" s="81"/>
      <c r="D36" s="81"/>
      <c r="E36" s="81"/>
    </row>
    <row r="37" spans="1:5" ht="15.75" x14ac:dyDescent="0.25">
      <c r="A37" s="89" t="s">
        <v>83</v>
      </c>
      <c r="B37" s="122">
        <v>45290</v>
      </c>
      <c r="C37" s="123">
        <v>45656</v>
      </c>
      <c r="D37" s="123">
        <v>46021</v>
      </c>
      <c r="E37" s="123">
        <v>46386</v>
      </c>
    </row>
    <row r="38" spans="1:5" ht="15.75" x14ac:dyDescent="0.25">
      <c r="A38" s="81" t="s">
        <v>96</v>
      </c>
      <c r="B38" s="81"/>
      <c r="C38" s="81"/>
      <c r="D38" s="81"/>
      <c r="E38" s="100">
        <v>0.03</v>
      </c>
    </row>
    <row r="39" spans="1:5" ht="15.75" x14ac:dyDescent="0.25">
      <c r="A39" s="81" t="s">
        <v>84</v>
      </c>
      <c r="B39" s="81"/>
      <c r="C39" s="81"/>
      <c r="D39" s="81"/>
      <c r="E39" s="82">
        <f>E23*(1+E38)/(B30-E38)</f>
        <v>5802889.0740738474</v>
      </c>
    </row>
    <row r="40" spans="1:5" ht="15.75" x14ac:dyDescent="0.25">
      <c r="A40" s="101" t="s">
        <v>85</v>
      </c>
      <c r="B40" s="101"/>
      <c r="C40" s="101"/>
      <c r="D40" s="101"/>
      <c r="E40" s="102">
        <f>E39*E34</f>
        <v>4923456.3859525537</v>
      </c>
    </row>
    <row r="41" spans="1:5" ht="15.75" x14ac:dyDescent="0.25">
      <c r="A41" s="81"/>
      <c r="B41" s="81"/>
      <c r="C41" s="81"/>
      <c r="D41" s="81"/>
      <c r="E41" s="81"/>
    </row>
    <row r="42" spans="1:5" ht="15.75" x14ac:dyDescent="0.25">
      <c r="A42" s="89" t="s">
        <v>86</v>
      </c>
      <c r="B42" s="122">
        <v>45290</v>
      </c>
      <c r="C42" s="81"/>
      <c r="D42" s="81"/>
      <c r="E42" s="81"/>
    </row>
    <row r="43" spans="1:5" ht="15.75" x14ac:dyDescent="0.25">
      <c r="A43" s="74" t="s">
        <v>98</v>
      </c>
      <c r="B43" s="103">
        <f>C35+D35+E35+E40</f>
        <v>5216914.2706879526</v>
      </c>
      <c r="C43" s="81"/>
      <c r="D43" s="81"/>
      <c r="E43" s="81"/>
    </row>
    <row r="44" spans="1:5" ht="15.75" x14ac:dyDescent="0.25">
      <c r="A44" s="68" t="s">
        <v>87</v>
      </c>
      <c r="B44" s="103">
        <f>'Balance Statement'!D15+'Balance Statement'!D17+'Balance Statement'!D21</f>
        <v>61334.27</v>
      </c>
      <c r="C44" s="81"/>
      <c r="D44" s="81"/>
      <c r="E44" s="81"/>
    </row>
    <row r="45" spans="1:5" ht="15.75" x14ac:dyDescent="0.25">
      <c r="A45" s="68" t="s">
        <v>88</v>
      </c>
      <c r="B45" s="103">
        <f>'Balance Statement'!D23</f>
        <v>277313.15000000002</v>
      </c>
      <c r="C45" s="81"/>
      <c r="D45" s="81"/>
      <c r="E45" s="81"/>
    </row>
    <row r="46" spans="1:5" ht="15.75" x14ac:dyDescent="0.25">
      <c r="A46" s="68" t="s">
        <v>89</v>
      </c>
      <c r="B46" s="103">
        <f>'Balance Statement'!D27</f>
        <v>80870.160000000047</v>
      </c>
      <c r="C46" s="81"/>
      <c r="D46" s="81"/>
      <c r="E46" s="81"/>
    </row>
    <row r="47" spans="1:5" ht="15.75" x14ac:dyDescent="0.25">
      <c r="A47" s="68" t="s">
        <v>90</v>
      </c>
      <c r="B47" s="103">
        <f>'Balance Statement'!D6</f>
        <v>579208.62</v>
      </c>
      <c r="C47" s="81"/>
      <c r="D47" s="81"/>
      <c r="E47" s="81"/>
    </row>
    <row r="48" spans="1:5" ht="15.75" x14ac:dyDescent="0.25">
      <c r="A48" s="71" t="s">
        <v>91</v>
      </c>
      <c r="B48" s="104">
        <f>'Balance Statement'!D7+'Balance Statement'!D12</f>
        <v>1104123.43</v>
      </c>
      <c r="C48" s="81"/>
      <c r="D48" s="81"/>
      <c r="E48" s="81"/>
    </row>
    <row r="49" spans="1:5" ht="15.75" x14ac:dyDescent="0.25">
      <c r="A49" s="105" t="s">
        <v>92</v>
      </c>
      <c r="B49" s="106">
        <f>B43-B44-B45-B46+B47+B48</f>
        <v>6480728.7406879524</v>
      </c>
      <c r="C49" s="81"/>
      <c r="D49" s="101"/>
      <c r="E49" s="81"/>
    </row>
    <row r="50" spans="1:5" ht="15.75" x14ac:dyDescent="0.25">
      <c r="A50" s="107" t="s">
        <v>93</v>
      </c>
      <c r="B50" s="108">
        <f>11.8*'Balance Statement'!D45</f>
        <v>19752.020000000004</v>
      </c>
      <c r="C50" s="81"/>
      <c r="D50" s="81"/>
      <c r="E50" s="81"/>
    </row>
    <row r="51" spans="1:5" ht="15.75" x14ac:dyDescent="0.25">
      <c r="A51" s="105" t="s">
        <v>99</v>
      </c>
      <c r="B51" s="106">
        <f>B49-B50</f>
        <v>6460976.7206879528</v>
      </c>
      <c r="C51" s="81"/>
      <c r="D51" s="81"/>
      <c r="E51" s="81"/>
    </row>
    <row r="52" spans="1:5" ht="15.75" x14ac:dyDescent="0.25">
      <c r="A52" s="107" t="s">
        <v>134</v>
      </c>
      <c r="B52" s="109">
        <f>'Balance Statement'!D43</f>
        <v>19800</v>
      </c>
      <c r="C52" s="81"/>
      <c r="D52" s="81"/>
      <c r="E52" s="81"/>
    </row>
    <row r="53" spans="1:5" ht="15.75" x14ac:dyDescent="0.25">
      <c r="A53" s="105" t="s">
        <v>100</v>
      </c>
      <c r="B53" s="110">
        <f>B51/B52</f>
        <v>326.31195559030067</v>
      </c>
      <c r="C53" s="81"/>
      <c r="D53" s="81"/>
      <c r="E53" s="81"/>
    </row>
    <row r="54" spans="1:5" ht="15.75" x14ac:dyDescent="0.25">
      <c r="A54" s="107" t="s">
        <v>101</v>
      </c>
      <c r="B54" s="111">
        <v>7.4</v>
      </c>
      <c r="C54" s="81"/>
      <c r="D54" s="81"/>
      <c r="E54" s="81"/>
    </row>
    <row r="55" spans="1:5" ht="15.75" x14ac:dyDescent="0.25">
      <c r="A55" s="105" t="s">
        <v>94</v>
      </c>
      <c r="B55" s="112">
        <f>(B53-B54)/B53</f>
        <v>0.97732231420508842</v>
      </c>
      <c r="C55" s="81"/>
      <c r="D55" s="81"/>
      <c r="E55" s="81"/>
    </row>
    <row r="56" spans="1:5" ht="15.75" x14ac:dyDescent="0.25">
      <c r="A56" s="113" t="s">
        <v>135</v>
      </c>
      <c r="B56" s="81"/>
      <c r="C56" s="81"/>
      <c r="D56" s="81"/>
      <c r="E56" s="8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DCF Valuation</vt:lpstr>
      <vt:lpstr>Introduction</vt:lpstr>
      <vt:lpstr>P&amp;L</vt:lpstr>
      <vt:lpstr>Balance Statement</vt:lpstr>
      <vt:lpstr>Cashflow</vt:lpstr>
      <vt:lpstr>Equity valuation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2024-09-12T10:12:44Z</dcterms:created>
  <dcterms:modified xsi:type="dcterms:W3CDTF">2024-10-07T11:13:58Z</dcterms:modified>
</cp:coreProperties>
</file>