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y portfolio of proj\"/>
    </mc:Choice>
  </mc:AlternateContent>
  <bookViews>
    <workbookView xWindow="0" yWindow="0" windowWidth="20490" windowHeight="7755" activeTab="5"/>
  </bookViews>
  <sheets>
    <sheet name="Tesla valuation" sheetId="10" r:id="rId1"/>
    <sheet name="Introduction" sheetId="8" r:id="rId2"/>
    <sheet name="P&amp;L" sheetId="5" r:id="rId3"/>
    <sheet name="Balance Statement" sheetId="6" r:id="rId4"/>
    <sheet name="Cashflow" sheetId="7" r:id="rId5"/>
    <sheet name="Valuation" sheetId="4" r:id="rId6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4" l="1"/>
  <c r="B3" i="8"/>
  <c r="B26" i="4" l="1"/>
  <c r="B52" i="4"/>
  <c r="B50" i="4"/>
  <c r="B48" i="4"/>
  <c r="B47" i="4"/>
  <c r="B46" i="4"/>
  <c r="B45" i="4"/>
  <c r="B44" i="4"/>
  <c r="B61" i="4" l="1"/>
  <c r="E18" i="4" l="1"/>
  <c r="D18" i="4"/>
  <c r="C18" i="4"/>
  <c r="B18" i="4"/>
  <c r="E17" i="4"/>
  <c r="D17" i="4"/>
  <c r="C17" i="4"/>
  <c r="E8" i="4"/>
  <c r="D8" i="4"/>
  <c r="C8" i="4"/>
  <c r="E11" i="4"/>
  <c r="D11" i="4"/>
  <c r="C11" i="4"/>
  <c r="E9" i="4"/>
  <c r="D9" i="4"/>
  <c r="C9" i="4"/>
  <c r="E7" i="4"/>
  <c r="D7" i="4"/>
  <c r="C7" i="4"/>
  <c r="G19" i="5" l="1"/>
  <c r="F19" i="5"/>
  <c r="E19" i="5"/>
  <c r="D19" i="5"/>
  <c r="C19" i="5"/>
  <c r="G20" i="7" l="1"/>
  <c r="F20" i="7"/>
  <c r="E20" i="7"/>
  <c r="D15" i="7"/>
  <c r="C15" i="7"/>
  <c r="B15" i="7"/>
  <c r="D13" i="7"/>
  <c r="C13" i="7"/>
  <c r="B13" i="7"/>
  <c r="D10" i="7"/>
  <c r="C10" i="7"/>
  <c r="B10" i="7"/>
  <c r="D8" i="7"/>
  <c r="C8" i="7"/>
  <c r="B8" i="7"/>
  <c r="D5" i="7"/>
  <c r="E5" i="7" s="1"/>
  <c r="C5" i="7"/>
  <c r="B5" i="7"/>
  <c r="F17" i="6"/>
  <c r="G17" i="6" s="1"/>
  <c r="E17" i="6"/>
  <c r="E13" i="6"/>
  <c r="F13" i="6" s="1"/>
  <c r="G13" i="6" s="1"/>
  <c r="F5" i="7" l="1"/>
  <c r="D32" i="6"/>
  <c r="E32" i="6" s="1"/>
  <c r="F32" i="6" s="1"/>
  <c r="G32" i="6" s="1"/>
  <c r="C32" i="6"/>
  <c r="B32" i="6"/>
  <c r="D30" i="6"/>
  <c r="E30" i="6" s="1"/>
  <c r="F30" i="6" s="1"/>
  <c r="G30" i="6" s="1"/>
  <c r="C30" i="6"/>
  <c r="B30" i="6"/>
  <c r="D26" i="6"/>
  <c r="C26" i="6"/>
  <c r="B26" i="6"/>
  <c r="D23" i="6"/>
  <c r="E23" i="6" s="1"/>
  <c r="F23" i="6" s="1"/>
  <c r="G23" i="6" s="1"/>
  <c r="C23" i="6"/>
  <c r="B23" i="6"/>
  <c r="D21" i="6"/>
  <c r="E21" i="6" s="1"/>
  <c r="C21" i="6"/>
  <c r="B21" i="6"/>
  <c r="D18" i="6"/>
  <c r="C18" i="6"/>
  <c r="D14" i="6"/>
  <c r="C14" i="6"/>
  <c r="D11" i="6"/>
  <c r="C11" i="6"/>
  <c r="B11" i="6"/>
  <c r="D9" i="6"/>
  <c r="C9" i="6"/>
  <c r="B9" i="6"/>
  <c r="D7" i="6"/>
  <c r="E7" i="6" s="1"/>
  <c r="C7" i="6"/>
  <c r="B7" i="6"/>
  <c r="D5" i="6"/>
  <c r="C5" i="6"/>
  <c r="B5" i="6"/>
  <c r="E5" i="5"/>
  <c r="E8" i="6" s="1"/>
  <c r="E3" i="5"/>
  <c r="E7" i="5" s="1"/>
  <c r="D15" i="5"/>
  <c r="C15" i="5"/>
  <c r="B15" i="5"/>
  <c r="E15" i="5" s="1"/>
  <c r="D9" i="5"/>
  <c r="C9" i="5"/>
  <c r="B9" i="5"/>
  <c r="D6" i="5"/>
  <c r="C6" i="5"/>
  <c r="B6" i="5"/>
  <c r="D4" i="5"/>
  <c r="C4" i="5"/>
  <c r="E4" i="7" l="1"/>
  <c r="F3" i="5"/>
  <c r="E4" i="5"/>
  <c r="F5" i="5"/>
  <c r="E12" i="7"/>
  <c r="E7" i="7"/>
  <c r="E14" i="7"/>
  <c r="E9" i="7"/>
  <c r="E10" i="6"/>
  <c r="E4" i="6"/>
  <c r="E8" i="5"/>
  <c r="E10" i="5" s="1"/>
  <c r="E13" i="5" s="1"/>
  <c r="E6" i="5"/>
  <c r="E6" i="6"/>
  <c r="F7" i="6"/>
  <c r="E20" i="6"/>
  <c r="F21" i="6"/>
  <c r="G5" i="7"/>
  <c r="E13" i="4"/>
  <c r="D13" i="4"/>
  <c r="C13" i="4"/>
  <c r="E16" i="7" l="1"/>
  <c r="E14" i="5"/>
  <c r="E16" i="5" s="1"/>
  <c r="E3" i="7" s="1"/>
  <c r="E11" i="7" s="1"/>
  <c r="E22" i="7" s="1"/>
  <c r="E3" i="6" s="1"/>
  <c r="E12" i="6" s="1"/>
  <c r="E19" i="6" s="1"/>
  <c r="G5" i="5"/>
  <c r="F8" i="6"/>
  <c r="F6" i="5"/>
  <c r="G3" i="5"/>
  <c r="F4" i="6"/>
  <c r="F14" i="7"/>
  <c r="F9" i="7"/>
  <c r="F10" i="6"/>
  <c r="F12" i="7"/>
  <c r="F7" i="7"/>
  <c r="F7" i="5"/>
  <c r="F4" i="5"/>
  <c r="F8" i="5"/>
  <c r="G21" i="6"/>
  <c r="F20" i="6"/>
  <c r="G7" i="6"/>
  <c r="G6" i="6" s="1"/>
  <c r="F6" i="6"/>
  <c r="F16" i="7" l="1"/>
  <c r="E29" i="6"/>
  <c r="E25" i="6"/>
  <c r="E31" i="6"/>
  <c r="E33" i="6" s="1"/>
  <c r="E22" i="6"/>
  <c r="G14" i="7"/>
  <c r="G9" i="7"/>
  <c r="G10" i="6"/>
  <c r="G12" i="7"/>
  <c r="G7" i="7"/>
  <c r="G4" i="6"/>
  <c r="G8" i="5"/>
  <c r="G7" i="5"/>
  <c r="G4" i="5"/>
  <c r="G20" i="6"/>
  <c r="F10" i="5"/>
  <c r="F13" i="5" s="1"/>
  <c r="F4" i="7"/>
  <c r="G8" i="6"/>
  <c r="G6" i="5"/>
  <c r="G16" i="7" l="1"/>
  <c r="E27" i="6"/>
  <c r="E34" i="6" s="1"/>
  <c r="G10" i="5"/>
  <c r="G13" i="5" s="1"/>
  <c r="G4" i="7"/>
  <c r="F16" i="5"/>
  <c r="F3" i="7" s="1"/>
  <c r="F11" i="7" s="1"/>
  <c r="F22" i="7" s="1"/>
  <c r="F3" i="6" s="1"/>
  <c r="F14" i="5"/>
  <c r="D19" i="4"/>
  <c r="C19" i="4"/>
  <c r="E19" i="4"/>
  <c r="F12" i="6" l="1"/>
  <c r="F19" i="6" s="1"/>
  <c r="G14" i="5"/>
  <c r="G16" i="5" s="1"/>
  <c r="G3" i="7" s="1"/>
  <c r="G11" i="7" s="1"/>
  <c r="G22" i="7" s="1"/>
  <c r="G3" i="6" s="1"/>
  <c r="G12" i="6" s="1"/>
  <c r="G19" i="6" s="1"/>
  <c r="D10" i="4"/>
  <c r="D12" i="4" s="1"/>
  <c r="D14" i="4" s="1"/>
  <c r="E10" i="4"/>
  <c r="E12" i="4" s="1"/>
  <c r="E14" i="4" s="1"/>
  <c r="C10" i="4"/>
  <c r="C12" i="4" s="1"/>
  <c r="C14" i="4" s="1"/>
  <c r="D34" i="4"/>
  <c r="C20" i="4"/>
  <c r="D20" i="4"/>
  <c r="C34" i="4"/>
  <c r="E20" i="4"/>
  <c r="E34" i="4"/>
  <c r="D23" i="4" l="1"/>
  <c r="D35" i="4" s="1"/>
  <c r="G25" i="6"/>
  <c r="G31" i="6"/>
  <c r="G22" i="6"/>
  <c r="G29" i="6"/>
  <c r="G33" i="6" s="1"/>
  <c r="F31" i="6"/>
  <c r="F29" i="6"/>
  <c r="F22" i="6"/>
  <c r="F25" i="6"/>
  <c r="C23" i="4"/>
  <c r="C35" i="4" s="1"/>
  <c r="E23" i="4"/>
  <c r="F27" i="6" l="1"/>
  <c r="G27" i="6"/>
  <c r="G34" i="6" s="1"/>
  <c r="F33" i="6"/>
  <c r="E35" i="4"/>
  <c r="E39" i="4"/>
  <c r="E40" i="4" s="1"/>
  <c r="F34" i="6" l="1"/>
  <c r="B43" i="4"/>
  <c r="B49" i="4" l="1"/>
  <c r="B51" i="4" s="1"/>
  <c r="B53" i="4" s="1"/>
  <c r="B60" i="4" s="1"/>
  <c r="B55" i="4" l="1"/>
</calcChain>
</file>

<file path=xl/sharedStrings.xml><?xml version="1.0" encoding="utf-8"?>
<sst xmlns="http://schemas.openxmlformats.org/spreadsheetml/2006/main" count="181" uniqueCount="159">
  <si>
    <t>Total Revenue</t>
  </si>
  <si>
    <t>Cost of Revenue, Total</t>
  </si>
  <si>
    <t>Gross Profit</t>
  </si>
  <si>
    <t>--</t>
  </si>
  <si>
    <t>Total Operating Expense</t>
  </si>
  <si>
    <t>Operating Income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</si>
  <si>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</si>
  <si>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</si>
  <si>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</si>
  <si>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</si>
  <si>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</si>
  <si>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</t>
  </si>
  <si>
    <t>Minority Interest</t>
  </si>
  <si>
    <t>Cash and Short Term Investments</t>
  </si>
  <si>
    <t>Accounts Receivable - Trade, Net</t>
  </si>
  <si>
    <t>Total Inventory</t>
  </si>
  <si>
    <t>Prepaid Expenses</t>
  </si>
  <si>
    <t>Total Current Assets</t>
  </si>
  <si>
    <t>Property/Plant/Equipment, Total - Net</t>
  </si>
  <si>
    <t>Goodwill, Net</t>
  </si>
  <si>
    <t>Intangibles, Net</t>
  </si>
  <si>
    <t>Total Assets</t>
  </si>
  <si>
    <t>Total Current Liabilities</t>
  </si>
  <si>
    <t>Total Debt</t>
  </si>
  <si>
    <t>Deferred Income Tax</t>
  </si>
  <si>
    <t>Total Liabilities</t>
  </si>
  <si>
    <t>Common Stock, Total</t>
  </si>
  <si>
    <t>Additional Paid-In Capital</t>
  </si>
  <si>
    <t>Total Equity</t>
  </si>
  <si>
    <t>Total Liabilities &amp; Shareholders' Equity</t>
  </si>
  <si>
    <t>Total Common Shares Outstanding</t>
  </si>
  <si>
    <t>Tangible Book Value per Share, Common Eq</t>
  </si>
  <si>
    <t>Net Income/Starting Line</t>
  </si>
  <si>
    <t>Depreciation/Depletion</t>
  </si>
  <si>
    <t>Deferred Taxes</t>
  </si>
  <si>
    <t>Non-Cash Items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</si>
  <si>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</si>
  <si>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</si>
  <si>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</si>
  <si>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</si>
  <si>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</si>
  <si>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</si>
  <si>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</si>
  <si>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</si>
  <si>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</si>
  <si>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</si>
  <si>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</si>
  <si>
    <t>Other non operational  expenses</t>
  </si>
  <si>
    <t>DISCOUNTED CASH FLOW TECHNIQUE OF VALUATION</t>
  </si>
  <si>
    <t>Free cash flow to firm calculation (FCFF)</t>
  </si>
  <si>
    <t>Operating cash profit calculation</t>
  </si>
  <si>
    <t>Jan. 31, 2023</t>
  </si>
  <si>
    <t>Jan. 31, 2024</t>
  </si>
  <si>
    <t>Jan. 31, 2025</t>
  </si>
  <si>
    <t>Jan. 31, 2026</t>
  </si>
  <si>
    <t>Revenues</t>
  </si>
  <si>
    <t>Less: Operating expenses (COGS + SGA)</t>
  </si>
  <si>
    <t>Less: Depreciation</t>
  </si>
  <si>
    <t>Earnings before interest and tax (EBIT)</t>
  </si>
  <si>
    <t>Less: Operating taxes</t>
  </si>
  <si>
    <t>Post tax operating profit (NOPLAT)</t>
  </si>
  <si>
    <t>Add: Depreciation</t>
  </si>
  <si>
    <t>Post tax operating cash profit</t>
  </si>
  <si>
    <t>Operating cash investments</t>
  </si>
  <si>
    <t>Capital expenditures investments</t>
  </si>
  <si>
    <t>Working Capital</t>
  </si>
  <si>
    <t>Increase in working capital</t>
  </si>
  <si>
    <t>Free cash flow to firm</t>
  </si>
  <si>
    <t>FCFF</t>
  </si>
  <si>
    <t>Cost of Capital calculation</t>
  </si>
  <si>
    <t>Percent</t>
  </si>
  <si>
    <t>Tax rate</t>
  </si>
  <si>
    <t xml:space="preserve">Cost of debt </t>
  </si>
  <si>
    <t>Bloomberg</t>
  </si>
  <si>
    <t>Cost of equity</t>
  </si>
  <si>
    <t>Target capital structure (debt to capital)</t>
  </si>
  <si>
    <t>WACC (Weighted average cost of capital)</t>
  </si>
  <si>
    <t>Present value of future cash flows</t>
  </si>
  <si>
    <t>Years from current</t>
  </si>
  <si>
    <t>Discount factor</t>
  </si>
  <si>
    <t>Present value of FCFF</t>
  </si>
  <si>
    <t>Terminal value calculation</t>
  </si>
  <si>
    <t>Terminal value</t>
  </si>
  <si>
    <t>Present value of terminal value</t>
  </si>
  <si>
    <t>Share price calculation</t>
  </si>
  <si>
    <t>Less: Short term debt</t>
  </si>
  <si>
    <t>Less: Long term debt</t>
  </si>
  <si>
    <t>Less: Other long term liabilities</t>
  </si>
  <si>
    <t>Add: Cash and cash equivalents</t>
  </si>
  <si>
    <t>Add: Other long term assets</t>
  </si>
  <si>
    <t>Consolidated equity value</t>
  </si>
  <si>
    <t>Less: Market Value of minority interest</t>
  </si>
  <si>
    <t>Margin of safety</t>
  </si>
  <si>
    <t>Sensitivity Analysis</t>
  </si>
  <si>
    <t>Terminal Growth Rate</t>
  </si>
  <si>
    <t>Terminal growth rate</t>
  </si>
  <si>
    <t>Tesla</t>
  </si>
  <si>
    <t>Enterprise value (EV) for Tesla</t>
  </si>
  <si>
    <t>Tesla equity value</t>
  </si>
  <si>
    <t>All values in Million USD</t>
  </si>
  <si>
    <t>Tesla equity value per share (USD)</t>
  </si>
  <si>
    <t>Tesla share price at the close of 2023 (USD)</t>
  </si>
  <si>
    <t>Fnancial Year</t>
  </si>
  <si>
    <t>-</t>
  </si>
  <si>
    <t>Other Long Term Assets</t>
  </si>
  <si>
    <t>Other Liabilities Total</t>
  </si>
  <si>
    <t>Retained Earnings (Accumulated Deficit) and other Equity</t>
  </si>
  <si>
    <t>HISTORICAL</t>
  </si>
  <si>
    <t>FORECASTED</t>
  </si>
  <si>
    <t>Total common shares outstanding (Mn)</t>
  </si>
  <si>
    <t>Tesla shares is undervalued</t>
  </si>
  <si>
    <t>Cost of Revenue, Total/Total Revenue in %</t>
  </si>
  <si>
    <t>Total Operating Expense/Total Revenue in %</t>
  </si>
  <si>
    <t>Taxes/Net income befre Taxes in %</t>
  </si>
  <si>
    <t xml:space="preserve">Revenue Growth Rate </t>
  </si>
  <si>
    <t>Net Income Growth Rate</t>
  </si>
  <si>
    <t>From year 2022</t>
  </si>
  <si>
    <t>Receivable/Revenue in %</t>
  </si>
  <si>
    <t>Inventory/Cost f Revenue in %</t>
  </si>
  <si>
    <t>Prepaid Expenses/Cost of Revenue %</t>
  </si>
  <si>
    <t xml:space="preserve">Other current assets </t>
  </si>
  <si>
    <t>PPE Growth Rate</t>
  </si>
  <si>
    <t>Long Term Assets Growt Rate</t>
  </si>
  <si>
    <t>Current Liabilities/Revenue in %</t>
  </si>
  <si>
    <t>Current Assets/Revenue in %</t>
  </si>
  <si>
    <t>Total Debt/Total Assets in %</t>
  </si>
  <si>
    <t>Other Liabilities Total/Total Assets in %</t>
  </si>
  <si>
    <t>Paid-in-Capital/Total Assets in %</t>
  </si>
  <si>
    <t>Retaine Earnings/Total Assets in %</t>
  </si>
  <si>
    <t>Non-Cash Items/Revenue in %</t>
  </si>
  <si>
    <t>Depreciation/Depletion/Gross Profits in %</t>
  </si>
  <si>
    <t>Capital Expenditures/Revenue in %</t>
  </si>
  <si>
    <t>Working Capital/Revenue %</t>
  </si>
  <si>
    <t>Investig Cashflow Items/Revenue in %</t>
  </si>
  <si>
    <t>Financial Year</t>
  </si>
  <si>
    <t>Company</t>
  </si>
  <si>
    <t>Year</t>
  </si>
  <si>
    <t>Fiscal year end</t>
  </si>
  <si>
    <t>First forecast year</t>
  </si>
  <si>
    <t>Days in year</t>
  </si>
  <si>
    <t>Currency</t>
  </si>
  <si>
    <t>Reporting units</t>
  </si>
  <si>
    <t>000s</t>
  </si>
  <si>
    <t>Domestic country</t>
  </si>
  <si>
    <t>Historical Financial data Years</t>
  </si>
  <si>
    <t>2021-2023</t>
  </si>
  <si>
    <t>Method of Forcast</t>
  </si>
  <si>
    <t>Linear Equation models</t>
  </si>
  <si>
    <t>Result of Valuation</t>
  </si>
  <si>
    <t>Tesla Inc.</t>
  </si>
  <si>
    <t>Common Shares outstanding</t>
  </si>
  <si>
    <t>USA</t>
  </si>
  <si>
    <t>Forcasted number of Years</t>
  </si>
  <si>
    <t>2024-2026</t>
  </si>
  <si>
    <t>Dollar</t>
  </si>
  <si>
    <t>EZEJI EMMANUEL IFEANYI</t>
  </si>
  <si>
    <t>FCMB Share price is Undervalued</t>
  </si>
  <si>
    <t xml:space="preserve">BY </t>
  </si>
  <si>
    <t>DCF VALUATION OF TESLA,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</si>
</sst>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;\(#,##0\);\-"/>
    <numFmt numFmtId="167" formatCode="#,##0.0;\(#,##0.0\);\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3"/>
      <color theme="4" tint="-0.499984740745262"/>
      <name val="Calibri"/>
      <family val="2"/>
      <scheme val="minor"/>
    </font>
    <font>
      <sz val="9"/>
      <color rgb="FF0000FF"/>
      <name val="Arial"/>
      <family val="2"/>
    </font>
    <font>
      <b/>
      <sz val="13"/>
      <color theme="4" tint="-0.499984740745262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26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8" fillId="3" borderId="0"/>
    <xf numFmtId="9" fontId="18" fillId="3" borderId="0"/>
  </cellStyleXfs>
  <cellXfs count="127">
    <xf numFmtId="0" fontId="0" fillId="0" borderId="0" xfId="0"/>
    <xf numFmtId="0" fontId="2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3" fillId="0" borderId="1" xfId="0" applyFont="1" applyBorder="1"/>
    <xf numFmtId="165" fontId="0" fillId="0" borderId="0" xfId="0" applyNumberFormat="1"/>
    <xf numFmtId="0" fontId="8" fillId="0" borderId="0" xfId="0" applyFont="1" applyAlignment="1">
      <alignment horizontal="left" vertical="center" wrapText="1" indent="3"/>
    </xf>
    <xf numFmtId="164" fontId="8" fillId="0" borderId="0" xfId="1" applyNumberFormat="1" applyFont="1" applyAlignment="1">
      <alignment horizontal="left" vertical="center" wrapText="1" indent="1"/>
    </xf>
    <xf numFmtId="164" fontId="8" fillId="0" borderId="0" xfId="0" applyNumberFormat="1" applyFont="1"/>
    <xf numFmtId="0" fontId="6" fillId="0" borderId="0" xfId="0" applyFont="1" applyAlignment="1">
      <alignment horizontal="left" vertical="center" wrapText="1" indent="3"/>
    </xf>
    <xf numFmtId="164" fontId="6" fillId="0" borderId="0" xfId="1" applyNumberFormat="1" applyFont="1" applyAlignment="1">
      <alignment horizontal="left" vertical="center" wrapText="1" indent="1"/>
    </xf>
    <xf numFmtId="164" fontId="6" fillId="0" borderId="0" xfId="0" applyNumberFormat="1" applyFont="1"/>
    <xf numFmtId="164" fontId="8" fillId="0" borderId="0" xfId="1" applyNumberFormat="1" applyFont="1"/>
    <xf numFmtId="43" fontId="8" fillId="0" borderId="0" xfId="1" applyNumberFormat="1" applyFont="1" applyAlignment="1">
      <alignment horizontal="left" vertical="center" wrapText="1" indent="1"/>
    </xf>
    <xf numFmtId="164" fontId="8" fillId="0" borderId="0" xfId="1" applyNumberFormat="1" applyFont="1" applyAlignment="1">
      <alignment horizontal="right" vertical="center" wrapText="1" indent="1"/>
    </xf>
    <xf numFmtId="0" fontId="8" fillId="0" borderId="0" xfId="0" applyFont="1" applyAlignment="1">
      <alignment horizontal="right"/>
    </xf>
    <xf numFmtId="0" fontId="0" fillId="0" borderId="0" xfId="0" applyAlignment="1"/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164" fontId="6" fillId="0" borderId="0" xfId="1" applyNumberFormat="1" applyFont="1"/>
    <xf numFmtId="1" fontId="8" fillId="0" borderId="0" xfId="2" applyNumberFormat="1" applyFont="1" applyAlignment="1">
      <alignment horizontal="right" vertical="center" wrapText="1" indent="1"/>
    </xf>
    <xf numFmtId="0" fontId="8" fillId="0" borderId="0" xfId="0" applyFont="1"/>
    <xf numFmtId="0" fontId="6" fillId="3" borderId="0" xfId="0" applyFont="1" applyFill="1" applyAlignment="1">
      <alignment horizontal="left" vertical="center" wrapText="1" indent="3"/>
    </xf>
    <xf numFmtId="164" fontId="6" fillId="3" borderId="0" xfId="1" applyNumberFormat="1" applyFont="1" applyFill="1" applyAlignment="1">
      <alignment horizontal="left" vertical="center" wrapText="1" indent="1"/>
    </xf>
    <xf numFmtId="164" fontId="6" fillId="3" borderId="0" xfId="1" applyNumberFormat="1" applyFont="1" applyFill="1"/>
    <xf numFmtId="0" fontId="10" fillId="4" borderId="6" xfId="0" applyFont="1" applyFill="1" applyBorder="1"/>
    <xf numFmtId="0" fontId="10" fillId="4" borderId="0" xfId="0" applyFont="1" applyFill="1"/>
    <xf numFmtId="0" fontId="5" fillId="5" borderId="0" xfId="0" applyFont="1" applyFill="1" applyAlignment="1">
      <alignment horizontal="left" vertical="center" indent="3"/>
    </xf>
    <xf numFmtId="15" fontId="5" fillId="5" borderId="0" xfId="0" applyNumberFormat="1" applyFont="1" applyFill="1" applyAlignment="1">
      <alignment horizontal="left" vertical="center"/>
    </xf>
    <xf numFmtId="0" fontId="10" fillId="5" borderId="0" xfId="0" applyFont="1" applyFill="1"/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vertical="center" wrapText="1" indent="1"/>
    </xf>
    <xf numFmtId="164" fontId="6" fillId="0" borderId="0" xfId="1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43" fontId="8" fillId="0" borderId="0" xfId="1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 applyAlignment="1">
      <alignment horizontal="left"/>
    </xf>
    <xf numFmtId="0" fontId="10" fillId="0" borderId="0" xfId="0" applyFont="1"/>
    <xf numFmtId="164" fontId="2" fillId="3" borderId="5" xfId="1" applyNumberFormat="1" applyFont="1" applyFill="1" applyBorder="1" applyAlignment="1">
      <alignment horizontal="center"/>
    </xf>
    <xf numFmtId="0" fontId="5" fillId="5" borderId="0" xfId="0" applyFont="1" applyFill="1" applyAlignment="1">
      <alignment vertical="center"/>
    </xf>
    <xf numFmtId="0" fontId="5" fillId="4" borderId="0" xfId="0" applyFont="1" applyFill="1"/>
    <xf numFmtId="0" fontId="3" fillId="0" borderId="0" xfId="0" applyFont="1"/>
    <xf numFmtId="0" fontId="12" fillId="4" borderId="0" xfId="0" applyFont="1" applyFill="1" applyAlignment="1">
      <alignment horizontal="center" vertical="center" wrapText="1"/>
    </xf>
    <xf numFmtId="0" fontId="12" fillId="4" borderId="0" xfId="0" applyNumberFormat="1" applyFont="1" applyFill="1" applyAlignment="1">
      <alignment horizontal="center" vertical="center" wrapText="1"/>
    </xf>
    <xf numFmtId="0" fontId="13" fillId="0" borderId="0" xfId="0" applyFont="1"/>
    <xf numFmtId="1" fontId="3" fillId="0" borderId="0" xfId="0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" fontId="4" fillId="0" borderId="0" xfId="0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164" fontId="3" fillId="0" borderId="0" xfId="1" applyNumberFormat="1" applyFont="1"/>
    <xf numFmtId="164" fontId="3" fillId="0" borderId="3" xfId="1" applyNumberFormat="1" applyFont="1" applyFill="1" applyBorder="1"/>
    <xf numFmtId="0" fontId="14" fillId="0" borderId="5" xfId="0" applyFont="1" applyFill="1" applyBorder="1"/>
    <xf numFmtId="0" fontId="4" fillId="0" borderId="5" xfId="0" applyFont="1" applyFill="1" applyBorder="1"/>
    <xf numFmtId="9" fontId="3" fillId="0" borderId="0" xfId="0" applyNumberFormat="1" applyFont="1" applyFill="1" applyAlignment="1">
      <alignment horizontal="center"/>
    </xf>
    <xf numFmtId="9" fontId="3" fillId="0" borderId="0" xfId="0" applyNumberFormat="1" applyFont="1"/>
    <xf numFmtId="165" fontId="4" fillId="2" borderId="5" xfId="0" applyNumberFormat="1" applyFont="1" applyFill="1" applyBorder="1" applyAlignment="1">
      <alignment horizontal="center"/>
    </xf>
    <xf numFmtId="0" fontId="3" fillId="0" borderId="0" xfId="0" applyFont="1" applyFill="1"/>
    <xf numFmtId="1" fontId="3" fillId="2" borderId="0" xfId="0" applyNumberFormat="1" applyFont="1" applyFill="1" applyAlignment="1">
      <alignment horizontal="center"/>
    </xf>
    <xf numFmtId="0" fontId="3" fillId="0" borderId="3" xfId="0" applyFont="1" applyFill="1" applyBorder="1"/>
    <xf numFmtId="2" fontId="3" fillId="2" borderId="3" xfId="0" applyNumberFormat="1" applyFont="1" applyFill="1" applyBorder="1" applyAlignment="1">
      <alignment horizontal="center"/>
    </xf>
    <xf numFmtId="0" fontId="3" fillId="0" borderId="5" xfId="0" applyFont="1" applyFill="1" applyBorder="1"/>
    <xf numFmtId="164" fontId="4" fillId="3" borderId="5" xfId="1" applyNumberFormat="1" applyFont="1" applyFill="1" applyBorder="1" applyAlignment="1">
      <alignment horizontal="center"/>
    </xf>
    <xf numFmtId="9" fontId="3" fillId="0" borderId="0" xfId="2" applyNumberFormat="1" applyFont="1"/>
    <xf numFmtId="0" fontId="4" fillId="0" borderId="0" xfId="0" applyFont="1"/>
    <xf numFmtId="164" fontId="4" fillId="0" borderId="0" xfId="1" applyNumberFormat="1" applyFont="1"/>
    <xf numFmtId="164" fontId="11" fillId="2" borderId="0" xfId="1" applyNumberFormat="1" applyFont="1" applyFill="1" applyAlignment="1"/>
    <xf numFmtId="164" fontId="11" fillId="2" borderId="3" xfId="1" applyNumberFormat="1" applyFont="1" applyFill="1" applyBorder="1" applyAlignment="1"/>
    <xf numFmtId="164" fontId="4" fillId="2" borderId="0" xfId="1" applyNumberFormat="1" applyFont="1" applyFill="1" applyAlignment="1"/>
    <xf numFmtId="164" fontId="3" fillId="2" borderId="3" xfId="0" applyNumberFormat="1" applyFont="1" applyFill="1" applyBorder="1" applyAlignment="1"/>
    <xf numFmtId="164" fontId="3" fillId="2" borderId="3" xfId="1" applyNumberFormat="1" applyFont="1" applyFill="1" applyBorder="1" applyAlignment="1"/>
    <xf numFmtId="1" fontId="4" fillId="2" borderId="0" xfId="0" applyNumberFormat="1" applyFont="1" applyFill="1" applyAlignment="1"/>
    <xf numFmtId="0" fontId="3" fillId="2" borderId="3" xfId="0" applyFont="1" applyFill="1" applyBorder="1" applyAlignment="1"/>
    <xf numFmtId="10" fontId="4" fillId="2" borderId="0" xfId="1" applyNumberFormat="1" applyFont="1" applyFill="1" applyAlignment="1"/>
    <xf numFmtId="1" fontId="3" fillId="2" borderId="6" xfId="0" applyNumberFormat="1" applyFont="1" applyFill="1" applyBorder="1"/>
    <xf numFmtId="9" fontId="3" fillId="0" borderId="6" xfId="2" applyNumberFormat="1" applyFont="1" applyBorder="1"/>
    <xf numFmtId="165" fontId="3" fillId="0" borderId="7" xfId="2" applyNumberFormat="1" applyFont="1" applyBorder="1"/>
    <xf numFmtId="165" fontId="3" fillId="0" borderId="6" xfId="2" applyNumberFormat="1" applyFont="1" applyBorder="1"/>
    <xf numFmtId="165" fontId="3" fillId="0" borderId="6" xfId="0" applyNumberFormat="1" applyFont="1" applyBorder="1"/>
    <xf numFmtId="1" fontId="3" fillId="3" borderId="6" xfId="0" applyNumberFormat="1" applyFont="1" applyFill="1" applyBorder="1"/>
    <xf numFmtId="1" fontId="4" fillId="3" borderId="6" xfId="0" applyNumberFormat="1" applyFont="1" applyFill="1" applyBorder="1"/>
    <xf numFmtId="1" fontId="3" fillId="3" borderId="7" xfId="0" applyNumberFormat="1" applyFont="1" applyFill="1" applyBorder="1"/>
    <xf numFmtId="1" fontId="3" fillId="0" borderId="6" xfId="0" applyNumberFormat="1" applyFont="1" applyBorder="1"/>
    <xf numFmtId="0" fontId="13" fillId="4" borderId="0" xfId="0" applyFont="1" applyFill="1"/>
    <xf numFmtId="0" fontId="3" fillId="0" borderId="2" xfId="0" applyFont="1" applyBorder="1"/>
    <xf numFmtId="0" fontId="4" fillId="0" borderId="1" xfId="0" applyFont="1" applyBorder="1"/>
    <xf numFmtId="0" fontId="4" fillId="0" borderId="4" xfId="0" applyFont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3" fillId="0" borderId="2" xfId="0" applyFont="1" applyFill="1" applyBorder="1"/>
    <xf numFmtId="0" fontId="6" fillId="0" borderId="1" xfId="0" applyFont="1" applyFill="1" applyBorder="1"/>
    <xf numFmtId="0" fontId="5" fillId="4" borderId="6" xfId="0" applyFont="1" applyFill="1" applyBorder="1"/>
    <xf numFmtId="0" fontId="4" fillId="0" borderId="6" xfId="0" applyFont="1" applyBorder="1"/>
    <xf numFmtId="0" fontId="9" fillId="4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15" fillId="0" borderId="0" xfId="0" applyFont="1" applyAlignment="1">
      <alignment vertical="center" wrapText="1"/>
    </xf>
    <xf numFmtId="164" fontId="15" fillId="0" borderId="0" xfId="1" applyNumberFormat="1" applyFont="1" applyAlignment="1">
      <alignment horizontal="right" vertical="center" wrapText="1" indent="1"/>
    </xf>
    <xf numFmtId="9" fontId="15" fillId="0" borderId="0" xfId="1" applyNumberFormat="1" applyFont="1" applyAlignment="1">
      <alignment horizontal="right" vertical="center" wrapText="1" indent="1"/>
    </xf>
    <xf numFmtId="0" fontId="16" fillId="0" borderId="0" xfId="0" applyFont="1"/>
    <xf numFmtId="9" fontId="15" fillId="0" borderId="0" xfId="2" applyFont="1" applyAlignment="1">
      <alignment horizontal="right" vertical="center" wrapText="1" indent="1"/>
    </xf>
    <xf numFmtId="165" fontId="15" fillId="0" borderId="0" xfId="2" applyNumberFormat="1" applyFont="1"/>
    <xf numFmtId="0" fontId="16" fillId="0" borderId="0" xfId="0" applyFont="1" applyAlignment="1"/>
    <xf numFmtId="9" fontId="16" fillId="0" borderId="0" xfId="2" applyFont="1"/>
    <xf numFmtId="9" fontId="15" fillId="0" borderId="0" xfId="2" applyFont="1" applyAlignment="1">
      <alignment horizontal="right"/>
    </xf>
    <xf numFmtId="0" fontId="15" fillId="0" borderId="0" xfId="0" applyFont="1" applyAlignment="1">
      <alignment horizontal="left" vertical="center" wrapText="1" indent="3"/>
    </xf>
    <xf numFmtId="0" fontId="17" fillId="3" borderId="0" xfId="0" applyFont="1" applyFill="1"/>
    <xf numFmtId="166" fontId="19" fillId="3" borderId="0" xfId="3" applyFont="1" applyAlignment="1">
      <alignment horizontal="right"/>
    </xf>
    <xf numFmtId="164" fontId="17" fillId="3" borderId="0" xfId="1" applyNumberFormat="1" applyFont="1" applyFill="1" applyAlignment="1">
      <alignment horizontal="right"/>
    </xf>
    <xf numFmtId="167" fontId="17" fillId="3" borderId="0" xfId="3" applyNumberFormat="1" applyFont="1" applyAlignment="1">
      <alignment horizontal="right"/>
    </xf>
    <xf numFmtId="16" fontId="17" fillId="3" borderId="0" xfId="0" applyNumberFormat="1" applyFont="1" applyFill="1" applyAlignment="1">
      <alignment horizontal="right"/>
    </xf>
    <xf numFmtId="0" fontId="17" fillId="3" borderId="0" xfId="0" applyFont="1" applyFill="1" applyAlignment="1">
      <alignment horizontal="right"/>
    </xf>
    <xf numFmtId="9" fontId="17" fillId="3" borderId="0" xfId="4" applyFont="1" applyAlignment="1">
      <alignment horizontal="right"/>
    </xf>
    <xf numFmtId="0" fontId="19" fillId="0" borderId="0" xfId="0" applyFont="1" applyBorder="1"/>
    <xf numFmtId="0" fontId="19" fillId="0" borderId="0" xfId="0" applyFont="1" applyBorder="1" applyAlignment="1">
      <alignment horizontal="right"/>
    </xf>
    <xf numFmtId="166" fontId="17" fillId="3" borderId="0" xfId="3" applyFont="1" applyBorder="1" applyAlignment="1">
      <alignment horizontal="right"/>
    </xf>
    <xf numFmtId="0" fontId="20" fillId="3" borderId="0" xfId="0" applyFont="1" applyFill="1"/>
    <xf numFmtId="164" fontId="20" fillId="3" borderId="0" xfId="1" applyNumberFormat="1" applyFont="1" applyFill="1" applyAlignment="1">
      <alignment horizontal="right"/>
    </xf>
    <xf numFmtId="0" fontId="17" fillId="3" borderId="0" xfId="0" applyFont="1" applyFill="1" applyBorder="1" applyAlignment="1"/>
    <xf numFmtId="0" fontId="22" fillId="0" borderId="0" xfId="0" applyFont="1"/>
    <xf numFmtId="0" fontId="21" fillId="0" borderId="0" xfId="0" applyFont="1"/>
  </cellXfs>
  <cellStyles count="5">
    <cellStyle name="Comma" xfId="1" builtinId="3"/>
    <cellStyle name="Hard input" xfId="3"/>
    <cellStyle name="Hard input %" xf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2"/>
  <sheetViews>
    <sheetView showGridLines="0" topLeftCell="A7" workbookViewId="0">
      <selection activeCell="N15" sqref="N15"/>
    </sheetView>
  </sheetViews>
  <sheetFormatPr defaultRowHeight="15" x14ac:dyDescent="0.25"/>
  <sheetData>
    <row r="10" spans="1:3" ht="81" customHeight="1" x14ac:dyDescent="0.5">
      <c r="A10" s="125" t="s">
        <v>158</v>
      </c>
      <c r="B10" s="125"/>
      <c r="C10" s="125"/>
    </row>
    <row r="11" spans="1:3" ht="22.5" customHeight="1" x14ac:dyDescent="0.3">
      <c r="A11" s="126" t="s">
        <v>157</v>
      </c>
    </row>
    <row r="12" spans="1:3" ht="41.25" customHeight="1" x14ac:dyDescent="0.5">
      <c r="A12" s="125" t="s">
        <v>155</v>
      </c>
      <c r="B12" s="125"/>
      <c r="C12" s="1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showGridLines="0" workbookViewId="0">
      <selection activeCell="C18" sqref="C18"/>
    </sheetView>
  </sheetViews>
  <sheetFormatPr defaultRowHeight="15" x14ac:dyDescent="0.25"/>
  <cols>
    <col min="2" max="2" width="39.28515625" customWidth="1"/>
    <col min="3" max="3" width="47.42578125" customWidth="1"/>
  </cols>
  <sheetData>
    <row r="1" spans="2:3" ht="17.25" x14ac:dyDescent="0.3">
      <c r="B1" s="112" t="s">
        <v>135</v>
      </c>
      <c r="C1" s="113" t="s">
        <v>149</v>
      </c>
    </row>
    <row r="2" spans="2:3" ht="17.25" x14ac:dyDescent="0.3">
      <c r="B2" s="112" t="s">
        <v>136</v>
      </c>
      <c r="C2" s="114">
        <v>2023</v>
      </c>
    </row>
    <row r="3" spans="2:3" ht="17.25" x14ac:dyDescent="0.3">
      <c r="B3" s="112" t="str">
        <f>C1&amp;" "&amp;"share price"</f>
        <v>Tesla Inc. share price</v>
      </c>
      <c r="C3" s="124">
        <v>248.48</v>
      </c>
    </row>
    <row r="4" spans="2:3" ht="17.25" x14ac:dyDescent="0.3">
      <c r="B4" s="112" t="s">
        <v>150</v>
      </c>
      <c r="C4" s="121">
        <v>3185000</v>
      </c>
    </row>
    <row r="5" spans="2:3" ht="17.25" x14ac:dyDescent="0.3">
      <c r="B5" s="112" t="s">
        <v>137</v>
      </c>
      <c r="C5" s="116">
        <v>45291</v>
      </c>
    </row>
    <row r="6" spans="2:3" ht="17.25" x14ac:dyDescent="0.3">
      <c r="B6" s="112" t="s">
        <v>138</v>
      </c>
      <c r="C6" s="117">
        <v>2024</v>
      </c>
    </row>
    <row r="7" spans="2:3" ht="17.25" x14ac:dyDescent="0.3">
      <c r="B7" s="112" t="s">
        <v>139</v>
      </c>
      <c r="C7" s="117">
        <v>365</v>
      </c>
    </row>
    <row r="8" spans="2:3" ht="17.25" x14ac:dyDescent="0.3">
      <c r="B8" s="112" t="s">
        <v>140</v>
      </c>
      <c r="C8" s="117" t="s">
        <v>154</v>
      </c>
    </row>
    <row r="9" spans="2:3" ht="17.25" x14ac:dyDescent="0.3">
      <c r="B9" s="112" t="s">
        <v>141</v>
      </c>
      <c r="C9" s="117" t="s">
        <v>142</v>
      </c>
    </row>
    <row r="10" spans="2:3" ht="17.25" x14ac:dyDescent="0.3">
      <c r="B10" s="112" t="s">
        <v>143</v>
      </c>
      <c r="C10" s="117" t="s">
        <v>151</v>
      </c>
    </row>
    <row r="11" spans="2:3" ht="17.25" x14ac:dyDescent="0.3">
      <c r="B11" s="112" t="s">
        <v>144</v>
      </c>
      <c r="C11" s="118" t="s">
        <v>145</v>
      </c>
    </row>
    <row r="12" spans="2:3" ht="17.25" x14ac:dyDescent="0.3">
      <c r="B12" s="112" t="s">
        <v>152</v>
      </c>
      <c r="C12" s="117" t="s">
        <v>153</v>
      </c>
    </row>
    <row r="13" spans="2:3" ht="17.25" x14ac:dyDescent="0.3">
      <c r="B13" s="112" t="s">
        <v>146</v>
      </c>
      <c r="C13" s="117" t="s">
        <v>147</v>
      </c>
    </row>
    <row r="14" spans="2:3" ht="17.25" x14ac:dyDescent="0.3">
      <c r="B14" s="112" t="s">
        <v>141</v>
      </c>
      <c r="C14" s="117" t="s">
        <v>142</v>
      </c>
    </row>
    <row r="15" spans="2:3" ht="17.25" x14ac:dyDescent="0.3">
      <c r="B15" s="119" t="s">
        <v>148</v>
      </c>
      <c r="C15" s="120" t="s">
        <v>156</v>
      </c>
    </row>
    <row r="16" spans="2:3" ht="18.75" x14ac:dyDescent="0.3">
      <c r="B16" s="122"/>
      <c r="C16" s="123"/>
    </row>
    <row r="17" spans="2:3" ht="17.25" x14ac:dyDescent="0.3">
      <c r="B17" s="112"/>
      <c r="C17" s="1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K14" sqref="K14"/>
    </sheetView>
  </sheetViews>
  <sheetFormatPr defaultRowHeight="15" x14ac:dyDescent="0.25"/>
  <cols>
    <col min="1" max="1" width="47.5703125" customWidth="1"/>
    <col min="2" max="2" width="12.42578125" customWidth="1"/>
    <col min="3" max="3" width="11.85546875" customWidth="1"/>
    <col min="4" max="4" width="10.85546875" customWidth="1"/>
    <col min="5" max="5" width="12.5703125" customWidth="1"/>
    <col min="6" max="7" width="11.28515625" customWidth="1"/>
  </cols>
  <sheetData>
    <row r="1" spans="1:7" s="27" customFormat="1" ht="30.75" customHeight="1" x14ac:dyDescent="0.25">
      <c r="A1" s="26"/>
      <c r="B1" s="99" t="s">
        <v>107</v>
      </c>
      <c r="C1" s="99"/>
      <c r="D1" s="99"/>
      <c r="E1" s="99" t="s">
        <v>108</v>
      </c>
      <c r="F1" s="99"/>
      <c r="G1" s="99"/>
    </row>
    <row r="2" spans="1:7" s="30" customFormat="1" ht="18.75" customHeight="1" x14ac:dyDescent="0.25">
      <c r="A2" s="42" t="s">
        <v>134</v>
      </c>
      <c r="B2" s="29">
        <v>44560</v>
      </c>
      <c r="C2" s="29">
        <v>44925</v>
      </c>
      <c r="D2" s="29">
        <v>45290</v>
      </c>
      <c r="E2" s="29">
        <v>45656</v>
      </c>
      <c r="F2" s="29">
        <v>46021</v>
      </c>
      <c r="G2" s="29">
        <v>46386</v>
      </c>
    </row>
    <row r="3" spans="1:7" ht="15.75" x14ac:dyDescent="0.25">
      <c r="A3" s="17" t="s">
        <v>0</v>
      </c>
      <c r="B3" s="7">
        <v>53823</v>
      </c>
      <c r="C3" s="7">
        <v>81462</v>
      </c>
      <c r="D3" s="7">
        <v>96773</v>
      </c>
      <c r="E3" s="8">
        <f>D3+21742</f>
        <v>118515</v>
      </c>
      <c r="F3" s="8">
        <f t="shared" ref="F3:G3" si="0">E3+21742</f>
        <v>140257</v>
      </c>
      <c r="G3" s="8">
        <f t="shared" si="0"/>
        <v>161999</v>
      </c>
    </row>
    <row r="4" spans="1:7" s="105" customFormat="1" ht="15.75" x14ac:dyDescent="0.25">
      <c r="A4" s="102" t="s">
        <v>114</v>
      </c>
      <c r="B4" s="103"/>
      <c r="C4" s="104">
        <f>(C3-B3)/B3</f>
        <v>0.51351652639206291</v>
      </c>
      <c r="D4" s="104">
        <f>(D3-C3)/C3</f>
        <v>0.18795266504627925</v>
      </c>
      <c r="E4" s="104">
        <f t="shared" ref="E4:G4" si="1">(E3-D3)/D3</f>
        <v>0.22467010426461925</v>
      </c>
      <c r="F4" s="104">
        <f t="shared" si="1"/>
        <v>0.18345357127789733</v>
      </c>
      <c r="G4" s="104">
        <f t="shared" si="1"/>
        <v>0.15501543594972086</v>
      </c>
    </row>
    <row r="5" spans="1:7" ht="15.75" x14ac:dyDescent="0.25">
      <c r="A5" s="17" t="s">
        <v>1</v>
      </c>
      <c r="B5" s="7">
        <v>40217</v>
      </c>
      <c r="C5" s="7">
        <v>60609</v>
      </c>
      <c r="D5" s="7">
        <v>79113</v>
      </c>
      <c r="E5" s="8">
        <f>D5+20295</f>
        <v>99408</v>
      </c>
      <c r="F5" s="8">
        <f t="shared" ref="F5:G5" si="2">E5+20295</f>
        <v>119703</v>
      </c>
      <c r="G5" s="8">
        <f t="shared" si="2"/>
        <v>139998</v>
      </c>
    </row>
    <row r="6" spans="1:7" s="105" customFormat="1" ht="15.75" x14ac:dyDescent="0.25">
      <c r="A6" s="102" t="s">
        <v>111</v>
      </c>
      <c r="B6" s="106">
        <f>B5/B3</f>
        <v>0.74720844248741247</v>
      </c>
      <c r="C6" s="106">
        <f t="shared" ref="C6:D6" si="3">C5/C3</f>
        <v>0.74401561464240995</v>
      </c>
      <c r="D6" s="106">
        <f t="shared" si="3"/>
        <v>0.81751108263668582</v>
      </c>
      <c r="E6" s="106">
        <f t="shared" ref="E6" si="4">E5/E3</f>
        <v>0.83877990127831925</v>
      </c>
      <c r="F6" s="106">
        <f t="shared" ref="F6" si="5">F5/F3</f>
        <v>0.85345472953221591</v>
      </c>
      <c r="G6" s="106">
        <f t="shared" ref="G6" si="6">G5/G3</f>
        <v>0.86419051969456606</v>
      </c>
    </row>
    <row r="7" spans="1:7" ht="15.75" x14ac:dyDescent="0.25">
      <c r="A7" s="18" t="s">
        <v>2</v>
      </c>
      <c r="B7" s="10">
        <v>13606</v>
      </c>
      <c r="C7" s="10">
        <v>20853</v>
      </c>
      <c r="D7" s="10">
        <v>17660</v>
      </c>
      <c r="E7" s="11">
        <f>E3-E5</f>
        <v>19107</v>
      </c>
      <c r="F7" s="11">
        <f t="shared" ref="F7:G7" si="7">F3-F5</f>
        <v>20554</v>
      </c>
      <c r="G7" s="11">
        <f t="shared" si="7"/>
        <v>22001</v>
      </c>
    </row>
    <row r="8" spans="1:7" ht="15.75" x14ac:dyDescent="0.25">
      <c r="A8" s="17" t="s">
        <v>4</v>
      </c>
      <c r="B8" s="7">
        <v>7083</v>
      </c>
      <c r="C8" s="7">
        <v>7221</v>
      </c>
      <c r="D8" s="7">
        <v>8769</v>
      </c>
      <c r="E8" s="13">
        <f>E9*E3</f>
        <v>10739.132144296447</v>
      </c>
      <c r="F8" s="7">
        <f t="shared" ref="F8:G8" si="8">F9*F3</f>
        <v>12709.264288592893</v>
      </c>
      <c r="G8" s="7">
        <f t="shared" si="8"/>
        <v>14679.39643288934</v>
      </c>
    </row>
    <row r="9" spans="1:7" s="105" customFormat="1" ht="16.5" customHeight="1" x14ac:dyDescent="0.25">
      <c r="A9" s="102" t="s">
        <v>112</v>
      </c>
      <c r="B9" s="106">
        <f>B8/B3</f>
        <v>0.13159801571818738</v>
      </c>
      <c r="C9" s="106">
        <f t="shared" ref="C9:D9" si="9">C8/C3</f>
        <v>8.8642557265964497E-2</v>
      </c>
      <c r="D9" s="106">
        <f t="shared" si="9"/>
        <v>9.0614117574116748E-2</v>
      </c>
      <c r="E9" s="106">
        <v>9.0614117574116748E-2</v>
      </c>
      <c r="F9" s="106">
        <v>9.0614117574116748E-2</v>
      </c>
      <c r="G9" s="106">
        <v>9.0614117574116748E-2</v>
      </c>
    </row>
    <row r="10" spans="1:7" s="1" customFormat="1" ht="15.75" x14ac:dyDescent="0.25">
      <c r="A10" s="18" t="s">
        <v>5</v>
      </c>
      <c r="B10" s="10">
        <v>6523</v>
      </c>
      <c r="C10" s="10">
        <v>13632</v>
      </c>
      <c r="D10" s="10">
        <v>8891</v>
      </c>
      <c r="E10" s="11">
        <f>E7-E8</f>
        <v>8367.8678557035528</v>
      </c>
      <c r="F10" s="11">
        <f t="shared" ref="F10:G10" si="10">F7-F8</f>
        <v>7844.7357114071074</v>
      </c>
      <c r="G10" s="11">
        <f t="shared" si="10"/>
        <v>7321.6035671106602</v>
      </c>
    </row>
    <row r="11" spans="1:7" ht="15.75" x14ac:dyDescent="0.25">
      <c r="A11" s="17" t="s">
        <v>6</v>
      </c>
      <c r="B11" s="7">
        <v>-218</v>
      </c>
      <c r="C11" s="7">
        <v>41</v>
      </c>
      <c r="D11" s="7">
        <v>1032</v>
      </c>
      <c r="E11" s="7">
        <v>1032</v>
      </c>
      <c r="F11" s="7">
        <v>1032</v>
      </c>
      <c r="G11" s="7">
        <v>1032</v>
      </c>
    </row>
    <row r="12" spans="1:7" ht="15.75" x14ac:dyDescent="0.25">
      <c r="A12" s="17" t="s">
        <v>7</v>
      </c>
      <c r="B12" s="7">
        <v>38</v>
      </c>
      <c r="C12" s="7">
        <v>46</v>
      </c>
      <c r="D12" s="7">
        <v>50</v>
      </c>
      <c r="E12" s="7">
        <v>50</v>
      </c>
      <c r="F12" s="7">
        <v>50</v>
      </c>
      <c r="G12" s="7">
        <v>50</v>
      </c>
    </row>
    <row r="13" spans="1:7" ht="15.75" x14ac:dyDescent="0.25">
      <c r="A13" s="18" t="s">
        <v>8</v>
      </c>
      <c r="B13" s="7">
        <v>6343</v>
      </c>
      <c r="C13" s="7">
        <v>13719</v>
      </c>
      <c r="D13" s="7">
        <v>9973</v>
      </c>
      <c r="E13" s="8">
        <f>E10+E11+E12</f>
        <v>9449.8678557035528</v>
      </c>
      <c r="F13" s="8">
        <f t="shared" ref="F13:G13" si="11">F10+F11+F12</f>
        <v>8926.7357114071074</v>
      </c>
      <c r="G13" s="8">
        <f t="shared" si="11"/>
        <v>8403.6035671106602</v>
      </c>
    </row>
    <row r="14" spans="1:7" ht="15.75" x14ac:dyDescent="0.25">
      <c r="A14" s="17" t="s">
        <v>9</v>
      </c>
      <c r="B14" s="7">
        <v>699</v>
      </c>
      <c r="C14" s="7">
        <v>1132</v>
      </c>
      <c r="D14" s="7">
        <v>-5001</v>
      </c>
      <c r="E14" s="12">
        <f>E15*E13</f>
        <v>910.55866523203156</v>
      </c>
      <c r="F14" s="12">
        <f t="shared" ref="F14:G14" si="12">F15*F13</f>
        <v>860.15134585739702</v>
      </c>
      <c r="G14" s="12">
        <f t="shared" si="12"/>
        <v>809.74402648276225</v>
      </c>
    </row>
    <row r="15" spans="1:7" s="105" customFormat="1" ht="16.5" customHeight="1" x14ac:dyDescent="0.25">
      <c r="A15" s="102" t="s">
        <v>113</v>
      </c>
      <c r="B15" s="106">
        <f>B14/B13</f>
        <v>0.11020022071574964</v>
      </c>
      <c r="C15" s="106">
        <f t="shared" ref="C15:D15" si="13">C14/C13</f>
        <v>8.2513302718857054E-2</v>
      </c>
      <c r="D15" s="106">
        <f t="shared" si="13"/>
        <v>-0.50145392559911761</v>
      </c>
      <c r="E15" s="107">
        <f>(B15+C15)/2</f>
        <v>9.6356761717303341E-2</v>
      </c>
      <c r="F15" s="107">
        <v>9.6356761717303341E-2</v>
      </c>
      <c r="G15" s="107">
        <v>9.6356761717303341E-2</v>
      </c>
    </row>
    <row r="16" spans="1:7" ht="15.75" x14ac:dyDescent="0.25">
      <c r="A16" s="18" t="s">
        <v>10</v>
      </c>
      <c r="B16" s="10">
        <v>5644</v>
      </c>
      <c r="C16" s="10">
        <v>12587</v>
      </c>
      <c r="D16" s="10">
        <v>14974</v>
      </c>
      <c r="E16" s="11">
        <f>E13-E14</f>
        <v>8539.309190471522</v>
      </c>
      <c r="F16" s="11">
        <f t="shared" ref="F16:G16" si="14">F13-F14</f>
        <v>8066.5843655497101</v>
      </c>
      <c r="G16" s="11">
        <f t="shared" si="14"/>
        <v>7593.8595406278982</v>
      </c>
    </row>
    <row r="17" spans="1:7" ht="15.75" x14ac:dyDescent="0.25">
      <c r="A17" s="17" t="s">
        <v>47</v>
      </c>
      <c r="B17" s="7">
        <v>120</v>
      </c>
      <c r="C17" s="7">
        <v>4</v>
      </c>
      <c r="D17" s="7">
        <v>-25</v>
      </c>
      <c r="E17" s="15" t="s">
        <v>103</v>
      </c>
      <c r="F17" s="7">
        <v>0</v>
      </c>
      <c r="G17" s="7">
        <v>0</v>
      </c>
    </row>
    <row r="18" spans="1:7" ht="15.75" x14ac:dyDescent="0.25">
      <c r="A18" s="18" t="s">
        <v>11</v>
      </c>
      <c r="B18" s="10">
        <v>5524</v>
      </c>
      <c r="C18" s="10">
        <v>12583</v>
      </c>
      <c r="D18" s="10">
        <v>14999</v>
      </c>
      <c r="E18" s="11">
        <v>8539.309190471522</v>
      </c>
      <c r="F18" s="11">
        <v>8066.5843655497101</v>
      </c>
      <c r="G18" s="11">
        <v>7593.8595406278982</v>
      </c>
    </row>
    <row r="19" spans="1:7" s="105" customFormat="1" x14ac:dyDescent="0.25">
      <c r="A19" s="108" t="s">
        <v>115</v>
      </c>
      <c r="C19" s="109">
        <f>(C18-B18)/B18</f>
        <v>1.2778783490224475</v>
      </c>
      <c r="D19" s="109">
        <f t="shared" ref="D19:G19" si="15">(D18-C18)/C18</f>
        <v>0.19200508622744974</v>
      </c>
      <c r="E19" s="109">
        <f t="shared" si="15"/>
        <v>-0.43067476561960649</v>
      </c>
      <c r="F19" s="109">
        <f t="shared" si="15"/>
        <v>-5.5358672976649655E-2</v>
      </c>
      <c r="G19" s="109">
        <f t="shared" si="15"/>
        <v>-5.8602848925834956E-2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K14" sqref="K14"/>
    </sheetView>
  </sheetViews>
  <sheetFormatPr defaultRowHeight="15" x14ac:dyDescent="0.25"/>
  <cols>
    <col min="1" max="1" width="54.42578125" style="16" customWidth="1"/>
    <col min="2" max="2" width="12" customWidth="1"/>
    <col min="3" max="3" width="11.42578125" customWidth="1"/>
    <col min="4" max="4" width="11.5703125" customWidth="1"/>
    <col min="5" max="5" width="12" customWidth="1"/>
    <col min="6" max="6" width="13.140625" customWidth="1"/>
    <col min="7" max="7" width="13.28515625" customWidth="1"/>
  </cols>
  <sheetData>
    <row r="1" spans="1:7" s="27" customFormat="1" ht="30.75" customHeight="1" x14ac:dyDescent="0.25">
      <c r="A1" s="26"/>
      <c r="B1" s="99"/>
      <c r="C1" s="99"/>
      <c r="D1" s="99"/>
      <c r="E1" s="99"/>
      <c r="F1" s="99"/>
      <c r="G1" s="99"/>
    </row>
    <row r="2" spans="1:7" s="30" customFormat="1" ht="18.75" customHeight="1" x14ac:dyDescent="0.25">
      <c r="A2" s="28" t="s">
        <v>102</v>
      </c>
      <c r="B2" s="29">
        <v>44560</v>
      </c>
      <c r="C2" s="29">
        <v>44925</v>
      </c>
      <c r="D2" s="29">
        <v>45290</v>
      </c>
      <c r="E2" s="29">
        <v>45656</v>
      </c>
      <c r="F2" s="29">
        <v>46021</v>
      </c>
      <c r="G2" s="29">
        <v>46386</v>
      </c>
    </row>
    <row r="3" spans="1:7" ht="15.75" x14ac:dyDescent="0.25">
      <c r="A3" s="17" t="s">
        <v>13</v>
      </c>
      <c r="B3" s="14">
        <v>17707</v>
      </c>
      <c r="C3" s="14">
        <v>22185</v>
      </c>
      <c r="D3" s="14">
        <v>29094</v>
      </c>
      <c r="E3" s="31">
        <f>D3+Cashflow!E22</f>
        <v>26528.500179978211</v>
      </c>
      <c r="F3" s="31">
        <f>E3+Cashflow!F22</f>
        <v>20803.346524541306</v>
      </c>
      <c r="G3" s="31">
        <f>F3+Cashflow!G22</f>
        <v>11976.419033689284</v>
      </c>
    </row>
    <row r="4" spans="1:7" ht="15.75" x14ac:dyDescent="0.25">
      <c r="A4" s="17" t="s">
        <v>14</v>
      </c>
      <c r="B4" s="14">
        <v>1913</v>
      </c>
      <c r="C4" s="14">
        <v>2800</v>
      </c>
      <c r="D4" s="14">
        <v>3235</v>
      </c>
      <c r="E4" s="31">
        <f>E5*'P&amp;L'!E3</f>
        <v>3961.807787296043</v>
      </c>
      <c r="F4" s="31">
        <f>F5*'P&amp;L'!F3</f>
        <v>4688.615574592086</v>
      </c>
      <c r="G4" s="31">
        <f>G5*'P&amp;L'!G3</f>
        <v>5415.4233618881299</v>
      </c>
    </row>
    <row r="5" spans="1:7" s="105" customFormat="1" ht="15.75" x14ac:dyDescent="0.25">
      <c r="A5" s="102" t="s">
        <v>117</v>
      </c>
      <c r="B5" s="106">
        <f>B4/'P&amp;L'!B3</f>
        <v>3.5542426100366016E-2</v>
      </c>
      <c r="C5" s="106">
        <f>C4/'P&amp;L'!C3</f>
        <v>3.4371854361542803E-2</v>
      </c>
      <c r="D5" s="106">
        <f>D4/'P&amp;L'!D3</f>
        <v>3.3428745621195993E-2</v>
      </c>
      <c r="E5" s="110">
        <v>3.3428745621195993E-2</v>
      </c>
      <c r="F5" s="110">
        <v>3.3428745621195993E-2</v>
      </c>
      <c r="G5" s="110">
        <v>3.3428745621195993E-2</v>
      </c>
    </row>
    <row r="6" spans="1:7" ht="15.75" x14ac:dyDescent="0.25">
      <c r="A6" s="17" t="s">
        <v>15</v>
      </c>
      <c r="B6" s="14">
        <v>5757</v>
      </c>
      <c r="C6" s="14">
        <v>12839</v>
      </c>
      <c r="D6" s="14">
        <v>13626</v>
      </c>
      <c r="E6" s="31">
        <f>E7*'P&amp;L'!E5</f>
        <v>18115.582256266356</v>
      </c>
      <c r="F6" s="31">
        <f>F7*'P&amp;L'!F5</f>
        <v>23011.06451253271</v>
      </c>
      <c r="G6" s="31">
        <f>G7*'P&amp;L'!G5</f>
        <v>28312.446768799065</v>
      </c>
    </row>
    <row r="7" spans="1:7" s="105" customFormat="1" ht="15.75" x14ac:dyDescent="0.25">
      <c r="A7" s="102" t="s">
        <v>118</v>
      </c>
      <c r="B7" s="106">
        <f>B6/'P&amp;L'!B5</f>
        <v>0.14314841982246312</v>
      </c>
      <c r="C7" s="106">
        <f>C6/'P&amp;L'!C5</f>
        <v>0.21183322608853469</v>
      </c>
      <c r="D7" s="106">
        <f>D6/'P&amp;L'!D5</f>
        <v>0.17223465170073188</v>
      </c>
      <c r="E7" s="110">
        <f>D7+1%</f>
        <v>0.18223465170073189</v>
      </c>
      <c r="F7" s="110">
        <f t="shared" ref="F7:G7" si="0">E7+1%</f>
        <v>0.1922346517007319</v>
      </c>
      <c r="G7" s="110">
        <f t="shared" si="0"/>
        <v>0.2022346517007319</v>
      </c>
    </row>
    <row r="8" spans="1:7" ht="15.75" x14ac:dyDescent="0.25">
      <c r="A8" s="17" t="s">
        <v>16</v>
      </c>
      <c r="B8" s="14">
        <v>1723</v>
      </c>
      <c r="C8" s="14">
        <v>2647</v>
      </c>
      <c r="D8" s="14">
        <v>2656</v>
      </c>
      <c r="E8" s="31">
        <f>E9*'P&amp;L'!E5</f>
        <v>3337.3484509499071</v>
      </c>
      <c r="F8" s="31">
        <f>F9*'P&amp;L'!F5</f>
        <v>4018.6969018998143</v>
      </c>
      <c r="G8" s="31">
        <f>G9*'P&amp;L'!G5</f>
        <v>4700.0453528497219</v>
      </c>
    </row>
    <row r="9" spans="1:7" s="105" customFormat="1" ht="15.75" x14ac:dyDescent="0.25">
      <c r="A9" s="102" t="s">
        <v>119</v>
      </c>
      <c r="B9" s="106">
        <f>B8/'P&amp;L'!B5</f>
        <v>4.2842579008876842E-2</v>
      </c>
      <c r="C9" s="106">
        <f>C8/'P&amp;L'!C5</f>
        <v>4.3673381840980713E-2</v>
      </c>
      <c r="D9" s="106">
        <f>D8/'P&amp;L'!D5</f>
        <v>3.3572232123671206E-2</v>
      </c>
      <c r="E9" s="110">
        <v>3.3572232123671206E-2</v>
      </c>
      <c r="F9" s="110">
        <v>3.3572232123671206E-2</v>
      </c>
      <c r="G9" s="110">
        <v>3.3572232123671206E-2</v>
      </c>
    </row>
    <row r="10" spans="1:7" ht="15.75" x14ac:dyDescent="0.25">
      <c r="A10" s="17" t="s">
        <v>120</v>
      </c>
      <c r="B10" s="14">
        <v>0</v>
      </c>
      <c r="C10" s="14">
        <v>446</v>
      </c>
      <c r="D10" s="14">
        <v>1005</v>
      </c>
      <c r="E10" s="31">
        <f>E11*'P&amp;L'!E3</f>
        <v>1230.7934547859422</v>
      </c>
      <c r="F10" s="31">
        <f>F11*'P&amp;L'!F3</f>
        <v>1456.5869095718847</v>
      </c>
      <c r="G10" s="31">
        <f>G11*'P&amp;L'!G3</f>
        <v>1682.3803643578271</v>
      </c>
    </row>
    <row r="11" spans="1:7" s="105" customFormat="1" ht="15.75" x14ac:dyDescent="0.25">
      <c r="A11" s="102" t="s">
        <v>124</v>
      </c>
      <c r="B11" s="103">
        <f>B10/'P&amp;L'!B3</f>
        <v>0</v>
      </c>
      <c r="C11" s="106">
        <f>C10/'P&amp;L'!C3</f>
        <v>5.4749453733028896E-3</v>
      </c>
      <c r="D11" s="106">
        <f>D10/'P&amp;L'!D3</f>
        <v>1.038512808324636E-2</v>
      </c>
      <c r="E11" s="106">
        <v>1.038512808324636E-2</v>
      </c>
      <c r="F11" s="106">
        <v>1.038512808324636E-2</v>
      </c>
      <c r="G11" s="106">
        <v>1.038512808324636E-2</v>
      </c>
    </row>
    <row r="12" spans="1:7" s="19" customFormat="1" ht="15.75" x14ac:dyDescent="0.25">
      <c r="A12" s="18" t="s">
        <v>17</v>
      </c>
      <c r="B12" s="32">
        <v>27100</v>
      </c>
      <c r="C12" s="32">
        <v>40917</v>
      </c>
      <c r="D12" s="32">
        <v>49616</v>
      </c>
      <c r="E12" s="33">
        <f>E3+E4+E6+E8+E10</f>
        <v>53174.032129276464</v>
      </c>
      <c r="F12" s="33">
        <f t="shared" ref="F12:G12" si="1">F3+F4+F6+F8+F10</f>
        <v>53978.310423137809</v>
      </c>
      <c r="G12" s="33">
        <f t="shared" si="1"/>
        <v>52086.714881584026</v>
      </c>
    </row>
    <row r="13" spans="1:7" ht="15.75" x14ac:dyDescent="0.25">
      <c r="A13" s="17" t="s">
        <v>18</v>
      </c>
      <c r="B13" s="14">
        <v>31176</v>
      </c>
      <c r="C13" s="14">
        <v>36635</v>
      </c>
      <c r="D13" s="14">
        <v>45123</v>
      </c>
      <c r="E13" s="31">
        <f>D13*(1+E14)</f>
        <v>50988.99</v>
      </c>
      <c r="F13" s="31">
        <f t="shared" ref="F13:G13" si="2">E13*(1+F14)</f>
        <v>57617.558699999994</v>
      </c>
      <c r="G13" s="31">
        <f t="shared" si="2"/>
        <v>65107.841330999989</v>
      </c>
    </row>
    <row r="14" spans="1:7" s="105" customFormat="1" ht="15.75" x14ac:dyDescent="0.25">
      <c r="A14" s="102" t="s">
        <v>121</v>
      </c>
      <c r="B14" s="103"/>
      <c r="C14" s="106">
        <f>(C13-B13)/B13</f>
        <v>0.17510264305876316</v>
      </c>
      <c r="D14" s="106">
        <f>(D13-C13)/C13</f>
        <v>0.23169100586870478</v>
      </c>
      <c r="E14" s="110">
        <v>0.13</v>
      </c>
      <c r="F14" s="110">
        <v>0.13</v>
      </c>
      <c r="G14" s="110">
        <v>0.13</v>
      </c>
    </row>
    <row r="15" spans="1:7" ht="15.75" x14ac:dyDescent="0.25">
      <c r="A15" s="17" t="s">
        <v>19</v>
      </c>
      <c r="B15" s="14">
        <v>200</v>
      </c>
      <c r="C15" s="14">
        <v>194</v>
      </c>
      <c r="D15" s="14">
        <v>253</v>
      </c>
      <c r="E15" s="31">
        <v>253</v>
      </c>
      <c r="F15" s="31">
        <v>253</v>
      </c>
      <c r="G15" s="31">
        <v>253</v>
      </c>
    </row>
    <row r="16" spans="1:7" ht="15.75" x14ac:dyDescent="0.25">
      <c r="A16" s="17" t="s">
        <v>20</v>
      </c>
      <c r="B16" s="14">
        <v>1517</v>
      </c>
      <c r="C16" s="14">
        <v>399</v>
      </c>
      <c r="D16" s="14">
        <v>362</v>
      </c>
      <c r="E16" s="14">
        <v>362</v>
      </c>
      <c r="F16" s="14">
        <v>362</v>
      </c>
      <c r="G16" s="14">
        <v>362</v>
      </c>
    </row>
    <row r="17" spans="1:7" ht="15.75" x14ac:dyDescent="0.25">
      <c r="A17" s="17" t="s">
        <v>104</v>
      </c>
      <c r="B17" s="14">
        <v>2138</v>
      </c>
      <c r="C17" s="14">
        <v>4193</v>
      </c>
      <c r="D17" s="14">
        <v>11264</v>
      </c>
      <c r="E17" s="31">
        <f>D17*(1+E18)</f>
        <v>19148.8</v>
      </c>
      <c r="F17" s="31">
        <f t="shared" ref="F17:G17" si="3">E17*(1+F18)</f>
        <v>32552.959999999999</v>
      </c>
      <c r="G17" s="31">
        <f t="shared" si="3"/>
        <v>55340.031999999999</v>
      </c>
    </row>
    <row r="18" spans="1:7" s="105" customFormat="1" ht="15.75" x14ac:dyDescent="0.25">
      <c r="A18" s="102" t="s">
        <v>122</v>
      </c>
      <c r="B18" s="103"/>
      <c r="C18" s="106">
        <f>(C17-B17)/B17</f>
        <v>0.96117867165575299</v>
      </c>
      <c r="D18" s="106">
        <f>(D17-C17)/C17</f>
        <v>1.686382065347007</v>
      </c>
      <c r="E18" s="110">
        <v>0.7</v>
      </c>
      <c r="F18" s="110">
        <v>0.7</v>
      </c>
      <c r="G18" s="110">
        <v>0.7</v>
      </c>
    </row>
    <row r="19" spans="1:7" ht="15.75" x14ac:dyDescent="0.25">
      <c r="A19" s="18" t="s">
        <v>21</v>
      </c>
      <c r="B19" s="32">
        <v>62131</v>
      </c>
      <c r="C19" s="32">
        <v>82338</v>
      </c>
      <c r="D19" s="32">
        <v>106618</v>
      </c>
      <c r="E19" s="33">
        <f>E12+E13+E15+E16+E17</f>
        <v>123926.82212927646</v>
      </c>
      <c r="F19" s="33">
        <f t="shared" ref="F19:G19" si="4">F12+F13+F15+F16+F17</f>
        <v>144763.82912313781</v>
      </c>
      <c r="G19" s="33">
        <f t="shared" si="4"/>
        <v>173149.58821258403</v>
      </c>
    </row>
    <row r="20" spans="1:7" ht="15.75" x14ac:dyDescent="0.25">
      <c r="A20" s="17" t="s">
        <v>22</v>
      </c>
      <c r="B20" s="14">
        <v>19705</v>
      </c>
      <c r="C20" s="14">
        <v>26709</v>
      </c>
      <c r="D20" s="14">
        <v>28748</v>
      </c>
      <c r="E20" s="31">
        <f>E21*'P&amp;L'!E3</f>
        <v>31295.82115739927</v>
      </c>
      <c r="F20" s="31">
        <f>F21*'P&amp;L'!F3</f>
        <v>32408.670314798543</v>
      </c>
      <c r="G20" s="31">
        <f>G21*'P&amp;L'!G3</f>
        <v>32086.547472197813</v>
      </c>
    </row>
    <row r="21" spans="1:7" s="105" customFormat="1" ht="15.75" x14ac:dyDescent="0.25">
      <c r="A21" s="102" t="s">
        <v>123</v>
      </c>
      <c r="B21" s="106">
        <f>B20/'P&amp;L'!B3</f>
        <v>0.36610742619326309</v>
      </c>
      <c r="C21" s="106">
        <f>C20/'P&amp;L'!C3</f>
        <v>0.32787066362230244</v>
      </c>
      <c r="D21" s="106">
        <f>D20/'P&amp;L'!D3</f>
        <v>0.29706633048474262</v>
      </c>
      <c r="E21" s="110">
        <f>D21-3.3%</f>
        <v>0.2640663304847426</v>
      </c>
      <c r="F21" s="110">
        <f t="shared" ref="F21:G21" si="5">E21-3.3%</f>
        <v>0.23106633048474259</v>
      </c>
      <c r="G21" s="110">
        <f t="shared" si="5"/>
        <v>0.19806633048474259</v>
      </c>
    </row>
    <row r="22" spans="1:7" ht="15.75" x14ac:dyDescent="0.25">
      <c r="A22" s="17" t="s">
        <v>23</v>
      </c>
      <c r="B22" s="14">
        <v>6834</v>
      </c>
      <c r="C22" s="14">
        <v>3099</v>
      </c>
      <c r="D22" s="14">
        <v>5230</v>
      </c>
      <c r="E22" s="31">
        <f>E23*E19</f>
        <v>7318.3287902034172</v>
      </c>
      <c r="F22" s="31">
        <f t="shared" ref="F22:G22" si="6">F23*F19</f>
        <v>9996.4679977398264</v>
      </c>
      <c r="G22" s="31">
        <f t="shared" si="6"/>
        <v>13688.103605707223</v>
      </c>
    </row>
    <row r="23" spans="1:7" s="105" customFormat="1" ht="15.75" x14ac:dyDescent="0.25">
      <c r="A23" s="102" t="s">
        <v>125</v>
      </c>
      <c r="B23" s="106">
        <f>B22/B19</f>
        <v>0.10999340103973862</v>
      </c>
      <c r="C23" s="106">
        <f t="shared" ref="C23:D23" si="7">C22/C19</f>
        <v>3.7637542811338631E-2</v>
      </c>
      <c r="D23" s="106">
        <f t="shared" si="7"/>
        <v>4.9053630719015549E-2</v>
      </c>
      <c r="E23" s="110">
        <f>D23+1%</f>
        <v>5.9053630719015551E-2</v>
      </c>
      <c r="F23" s="110">
        <f t="shared" ref="F23:G23" si="8">E23+1%</f>
        <v>6.9053630719015546E-2</v>
      </c>
      <c r="G23" s="110">
        <f t="shared" si="8"/>
        <v>7.9053630719015541E-2</v>
      </c>
    </row>
    <row r="24" spans="1:7" ht="15.75" x14ac:dyDescent="0.25">
      <c r="A24" s="17" t="s">
        <v>24</v>
      </c>
      <c r="B24" s="14">
        <v>24</v>
      </c>
      <c r="C24" s="14">
        <v>82</v>
      </c>
      <c r="D24" s="14">
        <v>0</v>
      </c>
      <c r="E24" s="21">
        <v>0</v>
      </c>
      <c r="F24" s="14">
        <v>0</v>
      </c>
      <c r="G24" s="14">
        <v>0</v>
      </c>
    </row>
    <row r="25" spans="1:7" ht="15.75" x14ac:dyDescent="0.25">
      <c r="A25" s="17" t="s">
        <v>105</v>
      </c>
      <c r="B25" s="14">
        <v>5379</v>
      </c>
      <c r="C25" s="14">
        <v>7744</v>
      </c>
      <c r="D25" s="14">
        <v>10006</v>
      </c>
      <c r="E25" s="31">
        <f>E26*E19</f>
        <v>11630.416836045886</v>
      </c>
      <c r="F25" s="31">
        <f t="shared" ref="F25:G25" si="9">F26*F19</f>
        <v>13585.95053561422</v>
      </c>
      <c r="G25" s="31">
        <f t="shared" si="9"/>
        <v>16249.927588729068</v>
      </c>
    </row>
    <row r="26" spans="1:7" s="105" customFormat="1" ht="15.75" x14ac:dyDescent="0.25">
      <c r="A26" s="102" t="s">
        <v>126</v>
      </c>
      <c r="B26" s="106">
        <f>B25/B19</f>
        <v>8.6575139624342115E-2</v>
      </c>
      <c r="C26" s="106">
        <f t="shared" ref="C26:D26" si="10">C25/C19</f>
        <v>9.4051349316233088E-2</v>
      </c>
      <c r="D26" s="106">
        <f t="shared" si="10"/>
        <v>9.3849068637565883E-2</v>
      </c>
      <c r="E26" s="110">
        <v>9.3849068637565883E-2</v>
      </c>
      <c r="F26" s="110">
        <v>9.3849068637565883E-2</v>
      </c>
      <c r="G26" s="110">
        <v>9.3849068637565883E-2</v>
      </c>
    </row>
    <row r="27" spans="1:7" ht="15.75" x14ac:dyDescent="0.25">
      <c r="A27" s="18" t="s">
        <v>25</v>
      </c>
      <c r="B27" s="32">
        <v>31942</v>
      </c>
      <c r="C27" s="32">
        <v>37634</v>
      </c>
      <c r="D27" s="32">
        <v>43984</v>
      </c>
      <c r="E27" s="33">
        <f>E20+E22+E24+E25</f>
        <v>50244.566783648574</v>
      </c>
      <c r="F27" s="33">
        <f t="shared" ref="F27:G27" si="11">F20+F22+F24+F25</f>
        <v>55991.088848152591</v>
      </c>
      <c r="G27" s="33">
        <f t="shared" si="11"/>
        <v>62024.578666634101</v>
      </c>
    </row>
    <row r="28" spans="1:7" ht="15.75" x14ac:dyDescent="0.25">
      <c r="A28" s="17" t="s">
        <v>26</v>
      </c>
      <c r="B28" s="14">
        <v>1</v>
      </c>
      <c r="C28" s="14">
        <v>3</v>
      </c>
      <c r="D28" s="14">
        <v>3</v>
      </c>
      <c r="E28" s="14">
        <v>3</v>
      </c>
      <c r="F28" s="14">
        <v>3</v>
      </c>
      <c r="G28" s="14">
        <v>3</v>
      </c>
    </row>
    <row r="29" spans="1:7" ht="15.75" x14ac:dyDescent="0.25">
      <c r="A29" s="17" t="s">
        <v>27</v>
      </c>
      <c r="B29" s="14">
        <v>29803</v>
      </c>
      <c r="C29" s="14">
        <v>32177</v>
      </c>
      <c r="D29" s="14">
        <v>34892</v>
      </c>
      <c r="E29" s="34">
        <f>E30*E19</f>
        <v>39317.248293129887</v>
      </c>
      <c r="F29" s="34">
        <f t="shared" ref="F29:G29" si="12">F30*F19</f>
        <v>44480.396622479413</v>
      </c>
      <c r="G29" s="34">
        <f t="shared" si="12"/>
        <v>51470.760547299731</v>
      </c>
    </row>
    <row r="30" spans="1:7" s="105" customFormat="1" ht="15.75" x14ac:dyDescent="0.25">
      <c r="A30" s="102" t="s">
        <v>127</v>
      </c>
      <c r="B30" s="106">
        <f>B29/B19</f>
        <v>0.47968003090244804</v>
      </c>
      <c r="C30" s="106">
        <f t="shared" ref="C30:D30" si="13">C29/C19</f>
        <v>0.39079161505015908</v>
      </c>
      <c r="D30" s="106">
        <f t="shared" si="13"/>
        <v>0.32726181320227354</v>
      </c>
      <c r="E30" s="110">
        <f>D30-1%</f>
        <v>0.31726181320227353</v>
      </c>
      <c r="F30" s="110">
        <f t="shared" ref="F30:G30" si="14">E30-1%</f>
        <v>0.30726181320227353</v>
      </c>
      <c r="G30" s="110">
        <f t="shared" si="14"/>
        <v>0.29726181320227352</v>
      </c>
    </row>
    <row r="31" spans="1:7" ht="18" customHeight="1" x14ac:dyDescent="0.25">
      <c r="A31" s="17" t="s">
        <v>106</v>
      </c>
      <c r="B31" s="14">
        <v>385</v>
      </c>
      <c r="C31" s="14">
        <v>12524</v>
      </c>
      <c r="D31" s="14">
        <v>27739</v>
      </c>
      <c r="E31" s="35">
        <f>E32*E19+261</f>
        <v>34362.170232706369</v>
      </c>
      <c r="F31" s="35">
        <f>F32*F19+112</f>
        <v>44289.842419216278</v>
      </c>
      <c r="G31" s="35">
        <f>G32*G19-115</f>
        <v>59651.359949474354</v>
      </c>
    </row>
    <row r="32" spans="1:7" s="105" customFormat="1" ht="18" customHeight="1" x14ac:dyDescent="0.25">
      <c r="A32" s="102" t="s">
        <v>128</v>
      </c>
      <c r="B32" s="106">
        <f>B31/B19</f>
        <v>6.1965846356891088E-3</v>
      </c>
      <c r="C32" s="106">
        <f t="shared" ref="C32:D32" si="15">C31/C19</f>
        <v>0.15210473900264762</v>
      </c>
      <c r="D32" s="106">
        <f t="shared" si="15"/>
        <v>0.260171828396706</v>
      </c>
      <c r="E32" s="110">
        <f>D32+1.5%</f>
        <v>0.27517182839670601</v>
      </c>
      <c r="F32" s="110">
        <f>E32+3%</f>
        <v>0.30517182839670598</v>
      </c>
      <c r="G32" s="110">
        <f>F32+4%</f>
        <v>0.34517182839670596</v>
      </c>
    </row>
    <row r="33" spans="1:7" ht="16.5" customHeight="1" x14ac:dyDescent="0.25">
      <c r="A33" s="18" t="s">
        <v>28</v>
      </c>
      <c r="B33" s="32">
        <v>30189</v>
      </c>
      <c r="C33" s="32">
        <v>44704</v>
      </c>
      <c r="D33" s="32">
        <v>62634</v>
      </c>
      <c r="E33" s="36">
        <f>E28+E29+E31</f>
        <v>73682.418525836256</v>
      </c>
      <c r="F33" s="36">
        <f t="shared" ref="F33:G33" si="16">F28+F29+F31</f>
        <v>88773.239041695691</v>
      </c>
      <c r="G33" s="36">
        <f t="shared" si="16"/>
        <v>111125.12049677409</v>
      </c>
    </row>
    <row r="34" spans="1:7" ht="15.75" customHeight="1" x14ac:dyDescent="0.25">
      <c r="A34" s="18" t="s">
        <v>29</v>
      </c>
      <c r="B34" s="32">
        <v>62131</v>
      </c>
      <c r="C34" s="32">
        <v>82338</v>
      </c>
      <c r="D34" s="32">
        <v>106618</v>
      </c>
      <c r="E34" s="36">
        <f>E27+E33</f>
        <v>123926.98530948482</v>
      </c>
      <c r="F34" s="36">
        <f t="shared" ref="F34:G34" si="17">F27+F33</f>
        <v>144764.32788984827</v>
      </c>
      <c r="G34" s="36">
        <f t="shared" si="17"/>
        <v>173149.69916340819</v>
      </c>
    </row>
    <row r="35" spans="1:7" ht="15.75" x14ac:dyDescent="0.25">
      <c r="A35" s="17" t="s">
        <v>30</v>
      </c>
      <c r="B35" s="14">
        <v>3099.03</v>
      </c>
      <c r="C35" s="14">
        <v>3164</v>
      </c>
      <c r="D35" s="14">
        <v>3185</v>
      </c>
      <c r="E35" s="37"/>
      <c r="F35" s="37"/>
      <c r="G35" s="37"/>
    </row>
    <row r="36" spans="1:7" ht="17.25" customHeight="1" x14ac:dyDescent="0.25">
      <c r="A36" s="17" t="s">
        <v>31</v>
      </c>
      <c r="B36" s="14">
        <v>9.19</v>
      </c>
      <c r="C36" s="14">
        <v>13.94</v>
      </c>
      <c r="D36" s="14">
        <v>19.47</v>
      </c>
      <c r="E36" s="38"/>
      <c r="F36" s="38"/>
      <c r="G36" s="38"/>
    </row>
    <row r="37" spans="1:7" ht="15.75" x14ac:dyDescent="0.25">
      <c r="A37" s="17" t="s">
        <v>12</v>
      </c>
      <c r="B37" s="14">
        <v>1394</v>
      </c>
      <c r="C37" s="14">
        <v>1194</v>
      </c>
      <c r="D37" s="14">
        <v>975</v>
      </c>
      <c r="E37" s="38"/>
      <c r="F37" s="38"/>
      <c r="G37" s="38"/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K10" sqref="K10"/>
    </sheetView>
  </sheetViews>
  <sheetFormatPr defaultRowHeight="15" x14ac:dyDescent="0.25"/>
  <cols>
    <col min="1" max="1" width="52.28515625" customWidth="1"/>
    <col min="2" max="2" width="12" customWidth="1"/>
    <col min="3" max="3" width="11.5703125" customWidth="1"/>
    <col min="4" max="4" width="11.7109375" customWidth="1"/>
    <col min="5" max="5" width="11.85546875" customWidth="1"/>
    <col min="6" max="6" width="10.42578125" customWidth="1"/>
    <col min="7" max="7" width="11" customWidth="1"/>
  </cols>
  <sheetData>
    <row r="1" spans="1:7" s="27" customFormat="1" ht="30.75" customHeight="1" x14ac:dyDescent="0.25">
      <c r="A1" s="26"/>
      <c r="B1" s="99"/>
      <c r="C1" s="99"/>
      <c r="D1" s="99"/>
      <c r="E1" s="99"/>
      <c r="F1" s="99"/>
      <c r="G1" s="99"/>
    </row>
    <row r="2" spans="1:7" s="30" customFormat="1" ht="18.75" customHeight="1" x14ac:dyDescent="0.25">
      <c r="A2" s="28" t="s">
        <v>102</v>
      </c>
      <c r="B2" s="29">
        <v>44560</v>
      </c>
      <c r="C2" s="29">
        <v>44925</v>
      </c>
      <c r="D2" s="29">
        <v>45290</v>
      </c>
      <c r="E2" s="29">
        <v>45656</v>
      </c>
      <c r="F2" s="29">
        <v>46021</v>
      </c>
      <c r="G2" s="29">
        <v>46386</v>
      </c>
    </row>
    <row r="3" spans="1:7" ht="15.75" x14ac:dyDescent="0.25">
      <c r="A3" s="6" t="s">
        <v>32</v>
      </c>
      <c r="B3" s="7">
        <v>5644</v>
      </c>
      <c r="C3" s="7">
        <v>12587</v>
      </c>
      <c r="D3" s="7">
        <v>14974</v>
      </c>
      <c r="E3" s="12">
        <f>'P&amp;L'!E16</f>
        <v>8539.309190471522</v>
      </c>
      <c r="F3" s="12">
        <f>'P&amp;L'!F16</f>
        <v>8066.5843655497101</v>
      </c>
      <c r="G3" s="12">
        <f>'P&amp;L'!G16</f>
        <v>7593.8595406278982</v>
      </c>
    </row>
    <row r="4" spans="1:7" ht="15.75" x14ac:dyDescent="0.25">
      <c r="A4" s="6" t="s">
        <v>33</v>
      </c>
      <c r="B4" s="7">
        <v>2911</v>
      </c>
      <c r="C4" s="7">
        <v>3747</v>
      </c>
      <c r="D4" s="7">
        <v>4667</v>
      </c>
      <c r="E4" s="12">
        <f>E5*'P&amp;L'!E7</f>
        <v>5431.5380181200462</v>
      </c>
      <c r="F4" s="12">
        <f>F5*'P&amp;L'!F7</f>
        <v>6253.9560362400916</v>
      </c>
      <c r="G4" s="12">
        <f>G5*'P&amp;L'!G7</f>
        <v>7134.2540543601372</v>
      </c>
    </row>
    <row r="5" spans="1:7" s="105" customFormat="1" ht="15.75" x14ac:dyDescent="0.25">
      <c r="A5" s="111" t="s">
        <v>130</v>
      </c>
      <c r="B5" s="106">
        <f>B4/'P&amp;L'!B7</f>
        <v>0.21394972806114948</v>
      </c>
      <c r="C5" s="106">
        <f>C4/'P&amp;L'!C7</f>
        <v>0.17968637606099841</v>
      </c>
      <c r="D5" s="106">
        <f>D4/'P&amp;L'!D7</f>
        <v>0.26426953567383921</v>
      </c>
      <c r="E5" s="110">
        <f>D5+2%</f>
        <v>0.28426953567383922</v>
      </c>
      <c r="F5" s="110">
        <f t="shared" ref="F5:G5" si="0">E5+2%</f>
        <v>0.30426953567383924</v>
      </c>
      <c r="G5" s="110">
        <f t="shared" si="0"/>
        <v>0.32426953567383926</v>
      </c>
    </row>
    <row r="6" spans="1:7" ht="15.75" x14ac:dyDescent="0.25">
      <c r="A6" s="6" t="s">
        <v>34</v>
      </c>
      <c r="B6" s="7" t="s">
        <v>3</v>
      </c>
      <c r="C6" s="7" t="s">
        <v>3</v>
      </c>
      <c r="D6" s="7">
        <v>-6349</v>
      </c>
      <c r="E6" s="12">
        <v>0</v>
      </c>
      <c r="F6" s="12">
        <v>0</v>
      </c>
      <c r="G6" s="7">
        <v>0</v>
      </c>
    </row>
    <row r="7" spans="1:7" ht="15.75" x14ac:dyDescent="0.25">
      <c r="A7" s="6" t="s">
        <v>35</v>
      </c>
      <c r="B7" s="7">
        <v>2424</v>
      </c>
      <c r="C7" s="7">
        <v>2298</v>
      </c>
      <c r="D7" s="7">
        <v>2212</v>
      </c>
      <c r="E7" s="12">
        <f>E8*'P&amp;L'!E3</f>
        <v>2708.9702706333378</v>
      </c>
      <c r="F7" s="12">
        <f>F8*'P&amp;L'!F3</f>
        <v>3205.9405412666756</v>
      </c>
      <c r="G7" s="12">
        <f>G8*'P&amp;L'!G3</f>
        <v>3702.9108119000134</v>
      </c>
    </row>
    <row r="8" spans="1:7" s="105" customFormat="1" ht="15.75" x14ac:dyDescent="0.25">
      <c r="A8" s="111" t="s">
        <v>129</v>
      </c>
      <c r="B8" s="106">
        <f>B7/'P&amp;L'!B3</f>
        <v>4.5036508555821864E-2</v>
      </c>
      <c r="C8" s="106">
        <f>C7/'P&amp;L'!C3</f>
        <v>2.8209471901009059E-2</v>
      </c>
      <c r="D8" s="106">
        <f>D7/'P&amp;L'!D3</f>
        <v>2.2857615243921343E-2</v>
      </c>
      <c r="E8" s="110">
        <v>2.2857615243921343E-2</v>
      </c>
      <c r="F8" s="110">
        <v>2.2857615243921343E-2</v>
      </c>
      <c r="G8" s="110">
        <v>2.2857615243921343E-2</v>
      </c>
    </row>
    <row r="9" spans="1:7" ht="15.75" x14ac:dyDescent="0.25">
      <c r="A9" s="6" t="s">
        <v>36</v>
      </c>
      <c r="B9" s="7">
        <v>518</v>
      </c>
      <c r="C9" s="7">
        <v>-3908</v>
      </c>
      <c r="D9" s="7">
        <v>-2248</v>
      </c>
      <c r="E9" s="12">
        <f>E10*'P&amp;L'!E3</f>
        <v>-2753.0583943868642</v>
      </c>
      <c r="F9" s="12">
        <f>F10*'P&amp;L'!F3</f>
        <v>-3258.1167887737283</v>
      </c>
      <c r="G9" s="12">
        <f>G10*'P&amp;L'!G3</f>
        <v>-3763.1751831605925</v>
      </c>
    </row>
    <row r="10" spans="1:7" s="105" customFormat="1" ht="15.75" x14ac:dyDescent="0.25">
      <c r="A10" s="111" t="s">
        <v>132</v>
      </c>
      <c r="B10" s="106">
        <f>B9/'P&amp;L'!B3</f>
        <v>9.6241383795031867E-3</v>
      </c>
      <c r="C10" s="106">
        <f>C9/'P&amp;L'!C3</f>
        <v>-4.797328815889617E-2</v>
      </c>
      <c r="D10" s="106">
        <f>D9/'P&amp;L'!D3</f>
        <v>-2.3229619831977927E-2</v>
      </c>
      <c r="E10" s="110">
        <v>-2.3229619831977927E-2</v>
      </c>
      <c r="F10" s="110">
        <v>-2.3229619831977927E-2</v>
      </c>
      <c r="G10" s="110">
        <v>-2.3229619831977927E-2</v>
      </c>
    </row>
    <row r="11" spans="1:7" s="1" customFormat="1" ht="15.75" x14ac:dyDescent="0.25">
      <c r="A11" s="23" t="s">
        <v>37</v>
      </c>
      <c r="B11" s="24">
        <v>11497</v>
      </c>
      <c r="C11" s="24">
        <v>14724</v>
      </c>
      <c r="D11" s="24">
        <v>13256</v>
      </c>
      <c r="E11" s="25">
        <f>E3+E4+E6+E7+E9</f>
        <v>13926.759084838041</v>
      </c>
      <c r="F11" s="25">
        <f t="shared" ref="F11:G11" si="1">F3+F4+F6+F7+F9</f>
        <v>14268.36415428275</v>
      </c>
      <c r="G11" s="25">
        <f t="shared" si="1"/>
        <v>14667.849223727457</v>
      </c>
    </row>
    <row r="12" spans="1:7" ht="15.75" x14ac:dyDescent="0.25">
      <c r="A12" s="6" t="s">
        <v>38</v>
      </c>
      <c r="B12" s="7">
        <v>-8014</v>
      </c>
      <c r="C12" s="7">
        <v>-7172</v>
      </c>
      <c r="D12" s="7">
        <v>-8899</v>
      </c>
      <c r="E12" s="12">
        <f>E13*'P&amp;L'!E3</f>
        <v>-10898.339257850846</v>
      </c>
      <c r="F12" s="12">
        <f>F13*'P&amp;L'!F3</f>
        <v>-12897.678515701693</v>
      </c>
      <c r="G12" s="12">
        <f>G13*'P&amp;L'!G3</f>
        <v>-14897.017773552539</v>
      </c>
    </row>
    <row r="13" spans="1:7" s="105" customFormat="1" ht="15.75" x14ac:dyDescent="0.25">
      <c r="A13" s="111" t="s">
        <v>131</v>
      </c>
      <c r="B13" s="106">
        <f>B12/'P&amp;L'!B3</f>
        <v>-0.14889545361648365</v>
      </c>
      <c r="C13" s="106">
        <f>C12/'P&amp;L'!C3</f>
        <v>-8.8041049814637506E-2</v>
      </c>
      <c r="D13" s="106">
        <f>D12/'P&amp;L'!D3</f>
        <v>-9.1957467475432195E-2</v>
      </c>
      <c r="E13" s="110">
        <v>-9.1957467475432195E-2</v>
      </c>
      <c r="F13" s="110">
        <v>-9.1957467475432195E-2</v>
      </c>
      <c r="G13" s="110">
        <v>-9.1957467475432195E-2</v>
      </c>
    </row>
    <row r="14" spans="1:7" ht="15.75" x14ac:dyDescent="0.25">
      <c r="A14" s="6" t="s">
        <v>39</v>
      </c>
      <c r="B14" s="7">
        <v>146</v>
      </c>
      <c r="C14" s="7">
        <v>-4801</v>
      </c>
      <c r="D14" s="7">
        <v>-6685</v>
      </c>
      <c r="E14" s="12">
        <f>E15*'P&amp;L'!E3</f>
        <v>-8186.919647008981</v>
      </c>
      <c r="F14" s="12">
        <f>F15*'P&amp;L'!F3</f>
        <v>-9688.8392940179601</v>
      </c>
      <c r="G14" s="12">
        <f>G15*'P&amp;L'!G3</f>
        <v>-11190.758941026941</v>
      </c>
    </row>
    <row r="15" spans="1:7" s="105" customFormat="1" ht="15.75" x14ac:dyDescent="0.25">
      <c r="A15" s="111" t="s">
        <v>133</v>
      </c>
      <c r="B15" s="106">
        <f>B14/'P&amp;L'!B3</f>
        <v>2.7125949872730988E-3</v>
      </c>
      <c r="C15" s="106">
        <f>C14/'P&amp;L'!C3</f>
        <v>-5.893545456777393E-2</v>
      </c>
      <c r="D15" s="106">
        <f>D14/'P&amp;L'!D3</f>
        <v>-6.9079185309952162E-2</v>
      </c>
      <c r="E15" s="110">
        <v>-6.9079185309952162E-2</v>
      </c>
      <c r="F15" s="110">
        <v>-6.9079185309952162E-2</v>
      </c>
      <c r="G15" s="110">
        <v>-6.9079185309952162E-2</v>
      </c>
    </row>
    <row r="16" spans="1:7" s="1" customFormat="1" ht="15.75" x14ac:dyDescent="0.25">
      <c r="A16" s="9" t="s">
        <v>40</v>
      </c>
      <c r="B16" s="10">
        <v>-7868</v>
      </c>
      <c r="C16" s="10">
        <v>-11973</v>
      </c>
      <c r="D16" s="10">
        <v>-15584</v>
      </c>
      <c r="E16" s="20">
        <f>E12+E14</f>
        <v>-19085.258904859827</v>
      </c>
      <c r="F16" s="20">
        <f t="shared" ref="F16:G16" si="2">F12+F14</f>
        <v>-22586.517809719655</v>
      </c>
      <c r="G16" s="20">
        <f t="shared" si="2"/>
        <v>-26087.776714579479</v>
      </c>
    </row>
    <row r="17" spans="1:7" ht="15.75" x14ac:dyDescent="0.25">
      <c r="A17" s="6" t="s">
        <v>41</v>
      </c>
      <c r="B17" s="7">
        <v>-178</v>
      </c>
      <c r="C17" s="7">
        <v>-202</v>
      </c>
      <c r="D17" s="7">
        <v>-227</v>
      </c>
      <c r="E17" s="7">
        <v>-227</v>
      </c>
      <c r="F17" s="7">
        <v>-227</v>
      </c>
      <c r="G17" s="7">
        <v>-227</v>
      </c>
    </row>
    <row r="18" spans="1:7" ht="15.75" x14ac:dyDescent="0.25">
      <c r="A18" s="6" t="s">
        <v>42</v>
      </c>
      <c r="B18" s="7">
        <v>707</v>
      </c>
      <c r="C18" s="7">
        <v>541</v>
      </c>
      <c r="D18" s="7">
        <v>700</v>
      </c>
      <c r="E18" s="7">
        <v>700</v>
      </c>
      <c r="F18" s="7">
        <v>700</v>
      </c>
      <c r="G18" s="7">
        <v>700</v>
      </c>
    </row>
    <row r="19" spans="1:7" ht="15.75" x14ac:dyDescent="0.25">
      <c r="A19" s="6" t="s">
        <v>43</v>
      </c>
      <c r="B19" s="7">
        <v>-5732</v>
      </c>
      <c r="C19" s="7">
        <v>-3866</v>
      </c>
      <c r="D19" s="7">
        <v>2116</v>
      </c>
      <c r="E19" s="7">
        <v>2116</v>
      </c>
      <c r="F19" s="7">
        <v>2116</v>
      </c>
      <c r="G19" s="7">
        <v>2116</v>
      </c>
    </row>
    <row r="20" spans="1:7" s="1" customFormat="1" ht="15.75" x14ac:dyDescent="0.25">
      <c r="A20" s="9" t="s">
        <v>44</v>
      </c>
      <c r="B20" s="10">
        <v>-5203</v>
      </c>
      <c r="C20" s="10">
        <v>-3527</v>
      </c>
      <c r="D20" s="10">
        <v>2589</v>
      </c>
      <c r="E20" s="20">
        <f>SUM(E17:E19)</f>
        <v>2589</v>
      </c>
      <c r="F20" s="20">
        <f t="shared" ref="F20:G20" si="3">SUM(F17:F19)</f>
        <v>2589</v>
      </c>
      <c r="G20" s="20">
        <f t="shared" si="3"/>
        <v>2589</v>
      </c>
    </row>
    <row r="21" spans="1:7" ht="15.75" x14ac:dyDescent="0.25">
      <c r="A21" s="6" t="s">
        <v>45</v>
      </c>
      <c r="B21" s="7">
        <v>-183</v>
      </c>
      <c r="C21" s="7">
        <v>-444</v>
      </c>
      <c r="D21" s="7">
        <v>4</v>
      </c>
      <c r="E21" s="7">
        <v>4</v>
      </c>
      <c r="F21" s="7">
        <v>4</v>
      </c>
      <c r="G21" s="7">
        <v>4</v>
      </c>
    </row>
    <row r="22" spans="1:7" s="1" customFormat="1" ht="15.75" x14ac:dyDescent="0.25">
      <c r="A22" s="9" t="s">
        <v>46</v>
      </c>
      <c r="B22" s="10">
        <v>-1757</v>
      </c>
      <c r="C22" s="10">
        <v>-1220</v>
      </c>
      <c r="D22" s="10">
        <v>265</v>
      </c>
      <c r="E22" s="20">
        <f>E11+E16+E20+E21</f>
        <v>-2565.4998200217869</v>
      </c>
      <c r="F22" s="20">
        <f t="shared" ref="F22:G22" si="4">F11+F16+F20+F21</f>
        <v>-5725.153655436905</v>
      </c>
      <c r="G22" s="20">
        <f t="shared" si="4"/>
        <v>-8826.9274908520219</v>
      </c>
    </row>
    <row r="23" spans="1:7" ht="15.75" x14ac:dyDescent="0.25">
      <c r="A23" s="22"/>
      <c r="B23" s="22"/>
      <c r="C23" s="22"/>
      <c r="D23" s="22"/>
      <c r="E23" s="22"/>
      <c r="F23" s="22"/>
      <c r="G23" s="22"/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37" workbookViewId="0">
      <selection activeCell="G64" sqref="G64"/>
    </sheetView>
  </sheetViews>
  <sheetFormatPr defaultRowHeight="15" x14ac:dyDescent="0.25"/>
  <cols>
    <col min="1" max="1" width="52.42578125" customWidth="1"/>
    <col min="2" max="2" width="23.7109375" customWidth="1"/>
    <col min="3" max="3" width="14.28515625" customWidth="1"/>
    <col min="4" max="4" width="14.7109375" customWidth="1"/>
    <col min="5" max="5" width="14" customWidth="1"/>
  </cols>
  <sheetData>
    <row r="1" spans="1:7" ht="15.75" x14ac:dyDescent="0.25">
      <c r="A1" s="43" t="s">
        <v>96</v>
      </c>
    </row>
    <row r="2" spans="1:7" ht="15.75" x14ac:dyDescent="0.25">
      <c r="A2" s="89" t="s">
        <v>48</v>
      </c>
    </row>
    <row r="3" spans="1:7" ht="15.75" x14ac:dyDescent="0.25">
      <c r="A3" s="43" t="s">
        <v>99</v>
      </c>
    </row>
    <row r="4" spans="1:7" ht="15.75" x14ac:dyDescent="0.25">
      <c r="A4" s="70"/>
    </row>
    <row r="5" spans="1:7" ht="15.75" x14ac:dyDescent="0.25">
      <c r="A5" s="2" t="s">
        <v>49</v>
      </c>
      <c r="B5" s="3"/>
      <c r="C5" s="3"/>
      <c r="D5" s="3"/>
      <c r="E5" s="3"/>
      <c r="F5" s="44"/>
      <c r="G5" s="44"/>
    </row>
    <row r="6" spans="1:7" s="40" customFormat="1" ht="15.75" x14ac:dyDescent="0.25">
      <c r="A6" s="39" t="s">
        <v>50</v>
      </c>
      <c r="B6" s="45" t="s">
        <v>51</v>
      </c>
      <c r="C6" s="46" t="s">
        <v>52</v>
      </c>
      <c r="D6" s="46" t="s">
        <v>53</v>
      </c>
      <c r="E6" s="46" t="s">
        <v>54</v>
      </c>
      <c r="F6" s="47"/>
      <c r="G6" s="47"/>
    </row>
    <row r="7" spans="1:7" ht="15.75" x14ac:dyDescent="0.25">
      <c r="A7" s="4" t="s">
        <v>55</v>
      </c>
      <c r="B7" s="48"/>
      <c r="C7" s="49">
        <f>'P&amp;L'!E3</f>
        <v>118515</v>
      </c>
      <c r="D7" s="49">
        <f>'P&amp;L'!F3</f>
        <v>140257</v>
      </c>
      <c r="E7" s="49">
        <f>'P&amp;L'!G3</f>
        <v>161999</v>
      </c>
      <c r="F7" s="44"/>
      <c r="G7" s="44"/>
    </row>
    <row r="8" spans="1:7" ht="15.75" x14ac:dyDescent="0.25">
      <c r="A8" s="4" t="s">
        <v>56</v>
      </c>
      <c r="B8" s="48"/>
      <c r="C8" s="49">
        <f>'P&amp;L'!E8+'P&amp;L'!E5</f>
        <v>110147.13214429645</v>
      </c>
      <c r="D8" s="49">
        <f>'P&amp;L'!F8+'P&amp;L'!F5</f>
        <v>132412.26428859288</v>
      </c>
      <c r="E8" s="49">
        <f>'P&amp;L'!G8+'P&amp;L'!G5</f>
        <v>154677.39643288933</v>
      </c>
      <c r="F8" s="44"/>
      <c r="G8" s="44"/>
    </row>
    <row r="9" spans="1:7" ht="15.75" x14ac:dyDescent="0.25">
      <c r="A9" s="90" t="s">
        <v>57</v>
      </c>
      <c r="B9" s="50"/>
      <c r="C9" s="51">
        <f>Cashflow!E4</f>
        <v>5431.5380181200462</v>
      </c>
      <c r="D9" s="51">
        <f>Cashflow!F4</f>
        <v>6253.9560362400916</v>
      </c>
      <c r="E9" s="51">
        <f>Cashflow!G4</f>
        <v>7134.2540543601372</v>
      </c>
      <c r="F9" s="44"/>
      <c r="G9" s="44"/>
    </row>
    <row r="10" spans="1:7" ht="15.75" x14ac:dyDescent="0.25">
      <c r="A10" s="91" t="s">
        <v>58</v>
      </c>
      <c r="B10" s="52"/>
      <c r="C10" s="53">
        <f>C7-C8-C9</f>
        <v>2936.3298375834993</v>
      </c>
      <c r="D10" s="53">
        <f t="shared" ref="D10:E10" si="0">D7-D8-D9</f>
        <v>1590.7796751670285</v>
      </c>
      <c r="E10" s="53">
        <f t="shared" si="0"/>
        <v>187.34951275052845</v>
      </c>
      <c r="F10" s="44"/>
      <c r="G10" s="44"/>
    </row>
    <row r="11" spans="1:7" ht="15.75" x14ac:dyDescent="0.25">
      <c r="A11" s="90" t="s">
        <v>59</v>
      </c>
      <c r="B11" s="50"/>
      <c r="C11" s="51">
        <f>'P&amp;L'!E14</f>
        <v>910.55866523203156</v>
      </c>
      <c r="D11" s="51">
        <f>'P&amp;L'!F14</f>
        <v>860.15134585739702</v>
      </c>
      <c r="E11" s="51">
        <f>'P&amp;L'!G14</f>
        <v>809.74402648276225</v>
      </c>
      <c r="F11" s="44"/>
      <c r="G11" s="44"/>
    </row>
    <row r="12" spans="1:7" ht="15.75" x14ac:dyDescent="0.25">
      <c r="A12" s="91" t="s">
        <v>60</v>
      </c>
      <c r="B12" s="52"/>
      <c r="C12" s="53">
        <f>C10-C11</f>
        <v>2025.7711723514676</v>
      </c>
      <c r="D12" s="53">
        <f t="shared" ref="D12:E12" si="1">D10-D11</f>
        <v>730.62832930963145</v>
      </c>
      <c r="E12" s="53">
        <f t="shared" si="1"/>
        <v>-622.3945137322338</v>
      </c>
      <c r="F12" s="44"/>
      <c r="G12" s="44"/>
    </row>
    <row r="13" spans="1:7" ht="15.75" x14ac:dyDescent="0.25">
      <c r="A13" s="90" t="s">
        <v>61</v>
      </c>
      <c r="B13" s="50"/>
      <c r="C13" s="51">
        <f>C9</f>
        <v>5431.5380181200462</v>
      </c>
      <c r="D13" s="51">
        <f t="shared" ref="D13:E13" si="2">D9</f>
        <v>6253.9560362400916</v>
      </c>
      <c r="E13" s="51">
        <f t="shared" si="2"/>
        <v>7134.2540543601372</v>
      </c>
      <c r="F13" s="44"/>
      <c r="G13" s="44"/>
    </row>
    <row r="14" spans="1:7" ht="16.5" thickBot="1" x14ac:dyDescent="0.3">
      <c r="A14" s="92" t="s">
        <v>62</v>
      </c>
      <c r="B14" s="54"/>
      <c r="C14" s="55">
        <f>C12+C13</f>
        <v>7457.3091904715138</v>
      </c>
      <c r="D14" s="55">
        <f t="shared" ref="D14:E14" si="3">D12+D13</f>
        <v>6984.5843655497229</v>
      </c>
      <c r="E14" s="55">
        <f t="shared" si="3"/>
        <v>6511.8595406279037</v>
      </c>
      <c r="F14" s="44"/>
      <c r="G14" s="44"/>
    </row>
    <row r="15" spans="1:7" ht="16.5" thickTop="1" x14ac:dyDescent="0.25">
      <c r="A15" s="44"/>
      <c r="B15" s="44"/>
      <c r="C15" s="56"/>
      <c r="D15" s="56"/>
      <c r="E15" s="56"/>
      <c r="F15" s="44"/>
      <c r="G15" s="44"/>
    </row>
    <row r="16" spans="1:7" s="40" customFormat="1" ht="15.75" x14ac:dyDescent="0.25">
      <c r="A16" s="39" t="s">
        <v>63</v>
      </c>
      <c r="B16" s="45"/>
      <c r="C16" s="46"/>
      <c r="D16" s="46"/>
      <c r="E16" s="46"/>
      <c r="F16" s="47"/>
      <c r="G16" s="47"/>
    </row>
    <row r="17" spans="1:7" ht="15.75" x14ac:dyDescent="0.25">
      <c r="A17" s="4" t="s">
        <v>64</v>
      </c>
      <c r="B17" s="48"/>
      <c r="C17" s="49">
        <f>Cashflow!E12</f>
        <v>-10898.339257850846</v>
      </c>
      <c r="D17" s="49">
        <f>Cashflow!F12</f>
        <v>-12897.678515701693</v>
      </c>
      <c r="E17" s="49">
        <f>Cashflow!G12</f>
        <v>-14897.017773552539</v>
      </c>
      <c r="F17" s="44"/>
      <c r="G17" s="44"/>
    </row>
    <row r="18" spans="1:7" ht="15.75" x14ac:dyDescent="0.25">
      <c r="A18" s="93" t="s">
        <v>65</v>
      </c>
      <c r="B18" s="49">
        <f>Cashflow!D9</f>
        <v>-2248</v>
      </c>
      <c r="C18" s="49">
        <f>Cashflow!E9</f>
        <v>-2753.0583943868642</v>
      </c>
      <c r="D18" s="49">
        <f>Cashflow!F9</f>
        <v>-3258.1167887737283</v>
      </c>
      <c r="E18" s="49">
        <f>Cashflow!G9</f>
        <v>-3763.1751831605925</v>
      </c>
      <c r="F18" s="44"/>
      <c r="G18" s="44"/>
    </row>
    <row r="19" spans="1:7" ht="15.75" x14ac:dyDescent="0.25">
      <c r="A19" s="90" t="s">
        <v>66</v>
      </c>
      <c r="B19" s="57"/>
      <c r="C19" s="51">
        <f>C18-B18</f>
        <v>-505.05839438686417</v>
      </c>
      <c r="D19" s="51">
        <f t="shared" ref="D19:E19" si="4">D18-C18</f>
        <v>-505.05839438686417</v>
      </c>
      <c r="E19" s="51">
        <f t="shared" si="4"/>
        <v>-505.05839438686417</v>
      </c>
      <c r="F19" s="44"/>
      <c r="G19" s="44"/>
    </row>
    <row r="20" spans="1:7" ht="16.5" thickBot="1" x14ac:dyDescent="0.3">
      <c r="A20" s="92" t="s">
        <v>63</v>
      </c>
      <c r="B20" s="58"/>
      <c r="C20" s="55">
        <f>C17+C19</f>
        <v>-11403.397652237711</v>
      </c>
      <c r="D20" s="55">
        <f t="shared" ref="D20:E20" si="5">D17+D19</f>
        <v>-13402.736910088557</v>
      </c>
      <c r="E20" s="55">
        <f t="shared" si="5"/>
        <v>-15402.076167939404</v>
      </c>
      <c r="F20" s="44"/>
      <c r="G20" s="44"/>
    </row>
    <row r="21" spans="1:7" ht="16.5" thickTop="1" x14ac:dyDescent="0.25">
      <c r="A21" s="44"/>
      <c r="B21" s="44"/>
      <c r="C21" s="44"/>
      <c r="D21" s="44"/>
      <c r="E21" s="44"/>
      <c r="F21" s="44"/>
      <c r="G21" s="44"/>
    </row>
    <row r="22" spans="1:7" s="40" customFormat="1" ht="15.75" x14ac:dyDescent="0.25">
      <c r="A22" s="39" t="s">
        <v>67</v>
      </c>
      <c r="B22" s="45" t="s">
        <v>51</v>
      </c>
      <c r="C22" s="46" t="s">
        <v>52</v>
      </c>
      <c r="D22" s="46" t="s">
        <v>53</v>
      </c>
      <c r="E22" s="46" t="s">
        <v>54</v>
      </c>
      <c r="F22" s="47"/>
      <c r="G22" s="47"/>
    </row>
    <row r="23" spans="1:7" ht="16.5" thickBot="1" x14ac:dyDescent="0.3">
      <c r="A23" s="92" t="s">
        <v>68</v>
      </c>
      <c r="B23" s="59"/>
      <c r="C23" s="55">
        <f>C14-C20</f>
        <v>18860.706842709224</v>
      </c>
      <c r="D23" s="55">
        <f t="shared" ref="D23:E23" si="6">D14-D20</f>
        <v>20387.321275638278</v>
      </c>
      <c r="E23" s="55">
        <f t="shared" si="6"/>
        <v>21913.935708567307</v>
      </c>
      <c r="F23" s="44"/>
      <c r="G23" s="44"/>
    </row>
    <row r="24" spans="1:7" ht="16.5" thickTop="1" x14ac:dyDescent="0.25">
      <c r="A24" s="44"/>
      <c r="B24" s="44"/>
      <c r="C24" s="44"/>
      <c r="D24" s="44"/>
      <c r="E24" s="44"/>
      <c r="F24" s="44"/>
      <c r="G24" s="44"/>
    </row>
    <row r="25" spans="1:7" s="40" customFormat="1" ht="15.75" x14ac:dyDescent="0.25">
      <c r="A25" s="39" t="s">
        <v>69</v>
      </c>
      <c r="B25" s="45" t="s">
        <v>70</v>
      </c>
      <c r="C25" s="46"/>
      <c r="D25" s="46"/>
      <c r="E25" s="46"/>
      <c r="F25" s="47"/>
      <c r="G25" s="47"/>
    </row>
    <row r="26" spans="1:7" ht="15.75" x14ac:dyDescent="0.25">
      <c r="A26" s="4" t="s">
        <v>71</v>
      </c>
      <c r="B26" s="60">
        <f>'P&amp;L'!C15</f>
        <v>8.2513302718857054E-2</v>
      </c>
      <c r="C26" s="44" t="s">
        <v>116</v>
      </c>
      <c r="D26" s="44"/>
      <c r="E26" s="44"/>
      <c r="F26" s="44"/>
      <c r="G26" s="44"/>
    </row>
    <row r="27" spans="1:7" ht="15.75" x14ac:dyDescent="0.25">
      <c r="A27" s="4" t="s">
        <v>72</v>
      </c>
      <c r="B27" s="60">
        <v>0.02</v>
      </c>
      <c r="C27" s="44" t="s">
        <v>73</v>
      </c>
      <c r="D27" s="44"/>
      <c r="E27" s="61"/>
      <c r="F27" s="44"/>
      <c r="G27" s="44"/>
    </row>
    <row r="28" spans="1:7" ht="15.75" x14ac:dyDescent="0.25">
      <c r="A28" s="4" t="s">
        <v>74</v>
      </c>
      <c r="B28" s="60">
        <v>6.3E-2</v>
      </c>
      <c r="C28" s="44" t="s">
        <v>73</v>
      </c>
      <c r="D28" s="44"/>
      <c r="E28" s="44"/>
      <c r="F28" s="44"/>
      <c r="G28" s="44"/>
    </row>
    <row r="29" spans="1:7" ht="15.75" x14ac:dyDescent="0.25">
      <c r="A29" s="4" t="s">
        <v>75</v>
      </c>
      <c r="B29" s="60">
        <v>0.15</v>
      </c>
      <c r="C29" s="44" t="s">
        <v>73</v>
      </c>
      <c r="D29" s="44"/>
      <c r="E29" s="44"/>
      <c r="F29" s="44"/>
      <c r="G29" s="44"/>
    </row>
    <row r="30" spans="1:7" ht="16.5" thickBot="1" x14ac:dyDescent="0.3">
      <c r="A30" s="92" t="s">
        <v>76</v>
      </c>
      <c r="B30" s="62">
        <f>B27*(1-B26)*B29+B28*(1-B29)</f>
        <v>5.6302460091843427E-2</v>
      </c>
      <c r="C30" s="44"/>
      <c r="D30" s="44"/>
      <c r="E30" s="44"/>
      <c r="F30" s="44"/>
      <c r="G30" s="44"/>
    </row>
    <row r="31" spans="1:7" ht="16.5" thickTop="1" x14ac:dyDescent="0.25">
      <c r="A31" s="44"/>
      <c r="B31" s="44"/>
      <c r="C31" s="44"/>
      <c r="D31" s="44"/>
      <c r="E31" s="44"/>
      <c r="F31" s="44"/>
      <c r="G31" s="44"/>
    </row>
    <row r="32" spans="1:7" s="40" customFormat="1" ht="15.75" x14ac:dyDescent="0.25">
      <c r="A32" s="39" t="s">
        <v>77</v>
      </c>
      <c r="B32" s="45" t="s">
        <v>51</v>
      </c>
      <c r="C32" s="46" t="s">
        <v>52</v>
      </c>
      <c r="D32" s="46" t="s">
        <v>53</v>
      </c>
      <c r="E32" s="46" t="s">
        <v>54</v>
      </c>
      <c r="F32" s="47"/>
      <c r="G32" s="47"/>
    </row>
    <row r="33" spans="1:9" ht="15.75" x14ac:dyDescent="0.25">
      <c r="A33" s="4" t="s">
        <v>78</v>
      </c>
      <c r="B33" s="63"/>
      <c r="C33" s="64">
        <v>1</v>
      </c>
      <c r="D33" s="64">
        <v>2</v>
      </c>
      <c r="E33" s="64">
        <v>3</v>
      </c>
      <c r="F33" s="44"/>
      <c r="G33" s="44"/>
    </row>
    <row r="34" spans="1:9" ht="15.75" x14ac:dyDescent="0.25">
      <c r="A34" s="90" t="s">
        <v>79</v>
      </c>
      <c r="B34" s="65"/>
      <c r="C34" s="66">
        <f>1/(1+$B$30)^C33</f>
        <v>0.94669854306033896</v>
      </c>
      <c r="D34" s="66">
        <f t="shared" ref="D34:E34" si="7">1/(1+$B$30)^D33</f>
        <v>0.89623813143256847</v>
      </c>
      <c r="E34" s="66">
        <f t="shared" si="7"/>
        <v>0.84846733326233315</v>
      </c>
      <c r="F34" s="44"/>
      <c r="G34" s="44"/>
    </row>
    <row r="35" spans="1:9" ht="16.5" thickBot="1" x14ac:dyDescent="0.3">
      <c r="A35" s="92" t="s">
        <v>80</v>
      </c>
      <c r="B35" s="67"/>
      <c r="C35" s="55">
        <f>C23*C34</f>
        <v>17855.403689080988</v>
      </c>
      <c r="D35" s="55">
        <f t="shared" ref="D35:E35" si="8">D23*D34</f>
        <v>18271.894724993497</v>
      </c>
      <c r="E35" s="55">
        <f t="shared" si="8"/>
        <v>18593.25859193032</v>
      </c>
      <c r="F35" s="44"/>
      <c r="G35" s="68"/>
      <c r="H35" s="41"/>
      <c r="I35" s="41"/>
    </row>
    <row r="36" spans="1:9" ht="16.5" thickTop="1" x14ac:dyDescent="0.25">
      <c r="A36" s="44"/>
      <c r="B36" s="44"/>
      <c r="C36" s="44"/>
      <c r="D36" s="44"/>
      <c r="E36" s="44"/>
      <c r="F36" s="44"/>
      <c r="G36" s="44"/>
    </row>
    <row r="37" spans="1:9" s="40" customFormat="1" ht="15.75" x14ac:dyDescent="0.25">
      <c r="A37" s="39" t="s">
        <v>81</v>
      </c>
      <c r="B37" s="45" t="s">
        <v>51</v>
      </c>
      <c r="C37" s="46" t="s">
        <v>52</v>
      </c>
      <c r="D37" s="46" t="s">
        <v>53</v>
      </c>
      <c r="E37" s="46" t="s">
        <v>54</v>
      </c>
      <c r="F37" s="47"/>
      <c r="G37" s="47"/>
    </row>
    <row r="38" spans="1:9" ht="15.75" x14ac:dyDescent="0.25">
      <c r="A38" s="44" t="s">
        <v>95</v>
      </c>
      <c r="B38" s="44"/>
      <c r="C38" s="44"/>
      <c r="D38" s="44"/>
      <c r="E38" s="69">
        <v>0.03</v>
      </c>
      <c r="F38" s="44"/>
      <c r="G38" s="44"/>
    </row>
    <row r="39" spans="1:9" ht="15.75" x14ac:dyDescent="0.25">
      <c r="A39" s="44" t="s">
        <v>82</v>
      </c>
      <c r="B39" s="44"/>
      <c r="C39" s="44"/>
      <c r="D39" s="44"/>
      <c r="E39" s="56">
        <f>E23*(1+E38)/(B30-E38)</f>
        <v>858146.10880538344</v>
      </c>
      <c r="F39" s="44"/>
      <c r="G39" s="44"/>
    </row>
    <row r="40" spans="1:9" ht="15.75" x14ac:dyDescent="0.25">
      <c r="A40" s="70" t="s">
        <v>83</v>
      </c>
      <c r="B40" s="70"/>
      <c r="C40" s="70"/>
      <c r="D40" s="70"/>
      <c r="E40" s="71">
        <f>E39*E34</f>
        <v>728108.94048755162</v>
      </c>
      <c r="F40" s="44"/>
      <c r="G40" s="44"/>
    </row>
    <row r="41" spans="1:9" ht="15.75" x14ac:dyDescent="0.25">
      <c r="A41" s="44"/>
      <c r="B41" s="44"/>
      <c r="C41" s="44"/>
      <c r="D41" s="44"/>
      <c r="E41" s="44"/>
      <c r="F41" s="44"/>
      <c r="G41" s="44"/>
    </row>
    <row r="42" spans="1:9" s="40" customFormat="1" ht="15.75" x14ac:dyDescent="0.25">
      <c r="A42" s="39" t="s">
        <v>84</v>
      </c>
      <c r="B42" s="45" t="s">
        <v>51</v>
      </c>
      <c r="C42" s="46"/>
      <c r="D42" s="46"/>
      <c r="E42" s="46"/>
      <c r="F42" s="47"/>
      <c r="G42" s="47"/>
    </row>
    <row r="43" spans="1:9" ht="15.75" x14ac:dyDescent="0.25">
      <c r="A43" s="91" t="s">
        <v>97</v>
      </c>
      <c r="B43" s="72">
        <f>C35+D35+E35+E40</f>
        <v>782829.49749355647</v>
      </c>
      <c r="C43" s="44"/>
      <c r="D43" s="44"/>
      <c r="E43" s="44"/>
      <c r="F43" s="44"/>
      <c r="G43" s="44"/>
    </row>
    <row r="44" spans="1:9" ht="15.75" x14ac:dyDescent="0.25">
      <c r="A44" s="4" t="s">
        <v>85</v>
      </c>
      <c r="B44" s="72">
        <f>'Balance Statement'!D20</f>
        <v>28748</v>
      </c>
      <c r="C44" s="44"/>
      <c r="D44" s="44"/>
      <c r="E44" s="44"/>
      <c r="F44" s="44"/>
      <c r="G44" s="44"/>
    </row>
    <row r="45" spans="1:9" ht="15.75" x14ac:dyDescent="0.25">
      <c r="A45" s="4" t="s">
        <v>86</v>
      </c>
      <c r="B45" s="72">
        <f>'Balance Statement'!D22</f>
        <v>5230</v>
      </c>
      <c r="C45" s="44"/>
      <c r="D45" s="44"/>
      <c r="E45" s="44"/>
      <c r="F45" s="44"/>
      <c r="G45" s="44"/>
    </row>
    <row r="46" spans="1:9" ht="15.75" x14ac:dyDescent="0.25">
      <c r="A46" s="4" t="s">
        <v>87</v>
      </c>
      <c r="B46" s="72">
        <f>'Balance Statement'!D25</f>
        <v>10006</v>
      </c>
      <c r="C46" s="44"/>
      <c r="D46" s="44"/>
      <c r="E46" s="44"/>
      <c r="F46" s="44"/>
      <c r="G46" s="44"/>
    </row>
    <row r="47" spans="1:9" ht="15.75" x14ac:dyDescent="0.25">
      <c r="A47" s="4" t="s">
        <v>88</v>
      </c>
      <c r="B47" s="72">
        <f>'Balance Statement'!D3</f>
        <v>29094</v>
      </c>
      <c r="C47" s="44"/>
      <c r="D47" s="44"/>
      <c r="E47" s="44"/>
      <c r="F47" s="44"/>
      <c r="G47" s="44"/>
    </row>
    <row r="48" spans="1:9" ht="15.75" x14ac:dyDescent="0.25">
      <c r="A48" s="90" t="s">
        <v>89</v>
      </c>
      <c r="B48" s="73">
        <f>'Balance Statement'!D13+'Balance Statement'!D17</f>
        <v>56387</v>
      </c>
      <c r="C48" s="44"/>
      <c r="D48" s="44"/>
      <c r="E48" s="44"/>
      <c r="F48" s="44"/>
      <c r="G48" s="44"/>
    </row>
    <row r="49" spans="1:7" ht="15.75" x14ac:dyDescent="0.25">
      <c r="A49" s="94" t="s">
        <v>90</v>
      </c>
      <c r="B49" s="74">
        <f>B43-B44-B45-B46+B47+B48</f>
        <v>824326.49749355647</v>
      </c>
      <c r="C49" s="44"/>
      <c r="D49" s="70"/>
      <c r="E49" s="44"/>
      <c r="F49" s="44"/>
      <c r="G49" s="44"/>
    </row>
    <row r="50" spans="1:7" ht="15.75" x14ac:dyDescent="0.25">
      <c r="A50" s="95" t="s">
        <v>91</v>
      </c>
      <c r="B50" s="75">
        <f>12.3*'Balance Statement'!D37</f>
        <v>11992.5</v>
      </c>
      <c r="C50" s="44"/>
      <c r="D50" s="44"/>
      <c r="E50" s="44"/>
      <c r="F50" s="44"/>
      <c r="G50" s="44"/>
    </row>
    <row r="51" spans="1:7" ht="15.75" x14ac:dyDescent="0.25">
      <c r="A51" s="94" t="s">
        <v>98</v>
      </c>
      <c r="B51" s="74">
        <f>B49-B50</f>
        <v>812333.99749355647</v>
      </c>
      <c r="C51" s="44"/>
      <c r="D51" s="44"/>
      <c r="E51" s="44"/>
      <c r="F51" s="44"/>
      <c r="G51" s="44"/>
    </row>
    <row r="52" spans="1:7" ht="15.75" x14ac:dyDescent="0.25">
      <c r="A52" s="95" t="s">
        <v>109</v>
      </c>
      <c r="B52" s="76">
        <f>'Balance Statement'!D35</f>
        <v>3185</v>
      </c>
      <c r="C52" s="44"/>
      <c r="D52" s="44"/>
      <c r="E52" s="44"/>
      <c r="F52" s="44"/>
      <c r="G52" s="44"/>
    </row>
    <row r="53" spans="1:7" ht="15.75" x14ac:dyDescent="0.25">
      <c r="A53" s="94" t="s">
        <v>100</v>
      </c>
      <c r="B53" s="77">
        <f>B51/B52</f>
        <v>255.04992072011191</v>
      </c>
      <c r="C53" s="44"/>
      <c r="D53" s="44"/>
      <c r="E53" s="44"/>
      <c r="F53" s="44"/>
      <c r="G53" s="44"/>
    </row>
    <row r="54" spans="1:7" ht="15.75" x14ac:dyDescent="0.25">
      <c r="A54" s="95" t="s">
        <v>101</v>
      </c>
      <c r="B54" s="78">
        <v>248.48</v>
      </c>
      <c r="C54" s="44"/>
      <c r="D54" s="44"/>
      <c r="E54" s="44"/>
      <c r="F54" s="44"/>
      <c r="G54" s="44"/>
    </row>
    <row r="55" spans="1:7" ht="15.75" x14ac:dyDescent="0.25">
      <c r="A55" s="94" t="s">
        <v>92</v>
      </c>
      <c r="B55" s="79">
        <f>(B53-B54)/B53</f>
        <v>2.5759352136092838E-2</v>
      </c>
      <c r="C55" s="44"/>
      <c r="D55" s="44"/>
      <c r="E55" s="44"/>
      <c r="F55" s="44"/>
      <c r="G55" s="44"/>
    </row>
    <row r="56" spans="1:7" ht="15.75" x14ac:dyDescent="0.25">
      <c r="A56" s="96" t="s">
        <v>110</v>
      </c>
      <c r="B56" s="44"/>
      <c r="C56" s="44"/>
      <c r="D56" s="44"/>
      <c r="E56" s="44"/>
      <c r="F56" s="44"/>
      <c r="G56" s="44"/>
    </row>
    <row r="57" spans="1:7" ht="15.75" x14ac:dyDescent="0.25">
      <c r="A57" s="44"/>
      <c r="B57" s="44"/>
      <c r="C57" s="44"/>
      <c r="D57" s="44"/>
      <c r="E57" s="44"/>
      <c r="F57" s="44"/>
      <c r="G57" s="44"/>
    </row>
    <row r="58" spans="1:7" ht="15.75" x14ac:dyDescent="0.25">
      <c r="A58" s="44"/>
      <c r="B58" s="44"/>
      <c r="C58" s="44"/>
      <c r="D58" s="44"/>
      <c r="E58" s="44"/>
      <c r="F58" s="44"/>
      <c r="G58" s="44"/>
    </row>
    <row r="59" spans="1:7" ht="15.75" x14ac:dyDescent="0.25">
      <c r="A59" s="97" t="s">
        <v>93</v>
      </c>
      <c r="B59" s="100" t="s">
        <v>94</v>
      </c>
      <c r="C59" s="100"/>
      <c r="D59" s="100"/>
      <c r="E59" s="100"/>
      <c r="F59" s="100"/>
      <c r="G59" s="100"/>
    </row>
    <row r="60" spans="1:7" ht="15.75" x14ac:dyDescent="0.25">
      <c r="A60" s="98" t="s">
        <v>100</v>
      </c>
      <c r="B60" s="80">
        <f>B53</f>
        <v>255.04992072011191</v>
      </c>
      <c r="C60" s="81">
        <v>0.02</v>
      </c>
      <c r="D60" s="81">
        <v>0.03</v>
      </c>
      <c r="E60" s="81">
        <v>0.04</v>
      </c>
      <c r="F60" s="82"/>
      <c r="G60" s="83"/>
    </row>
    <row r="61" spans="1:7" ht="15.75" x14ac:dyDescent="0.25">
      <c r="A61" s="101" t="s">
        <v>76</v>
      </c>
      <c r="B61" s="84">
        <f>B30</f>
        <v>5.6302460091843427E-2</v>
      </c>
      <c r="C61" s="85">
        <f t="dataTable" ref="C61:E62" dt2D="1" dtr="1" r1="E38" r2="B30" ca="1"/>
        <v>190.46934132888811</v>
      </c>
      <c r="D61" s="85">
        <v>255.04992072011191</v>
      </c>
      <c r="E61" s="86">
        <v>398.85851726628681</v>
      </c>
      <c r="F61" s="87"/>
      <c r="G61" s="85"/>
    </row>
    <row r="62" spans="1:7" ht="15.75" x14ac:dyDescent="0.25">
      <c r="A62" s="101"/>
      <c r="B62" s="84">
        <v>0.06</v>
      </c>
      <c r="C62" s="88">
        <v>173.63434292082374</v>
      </c>
      <c r="D62" s="88">
        <v>224.6634501090127</v>
      </c>
      <c r="E62" s="88">
        <v>326.72166448539076</v>
      </c>
      <c r="F62" s="44"/>
      <c r="G62" s="44"/>
    </row>
    <row r="63" spans="1:7" x14ac:dyDescent="0.25">
      <c r="B63" s="5"/>
    </row>
    <row r="64" spans="1:7" x14ac:dyDescent="0.25">
      <c r="B64" s="5"/>
    </row>
    <row r="65" spans="2:2" x14ac:dyDescent="0.25">
      <c r="B65" s="5"/>
    </row>
  </sheetData>
  <mergeCells count="2">
    <mergeCell ref="B59:G59"/>
    <mergeCell ref="A61:A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Tesla valuation</vt:lpstr>
      <vt:lpstr>Introduction</vt:lpstr>
      <vt:lpstr>P&amp;L</vt:lpstr>
      <vt:lpstr>Balance Statement</vt:lpstr>
      <vt:lpstr>Cashflow</vt:lpstr>
      <vt:lpstr>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2024-09-07T13:58:14Z</dcterms:created>
  <dcterms:modified xsi:type="dcterms:W3CDTF">2024-09-29T14:38:05Z</dcterms:modified>
</cp:coreProperties>
</file>