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curix cable Folder\"/>
    </mc:Choice>
  </mc:AlternateContent>
  <bookViews>
    <workbookView xWindow="0" yWindow="0" windowWidth="20490" windowHeight="7755" activeTab="2"/>
  </bookViews>
  <sheets>
    <sheet name="INTRODUCTION" sheetId="6" r:id="rId1"/>
    <sheet name="LBO VALUATION DRIVERS" sheetId="5" r:id="rId2"/>
    <sheet name="LBO VALUATION MODEL" sheetId="4" r:id="rId3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6" i="4" l="1"/>
  <c r="F20" i="4" l="1"/>
  <c r="O196" i="4"/>
  <c r="O195" i="4"/>
  <c r="N195" i="4"/>
  <c r="E197" i="4"/>
  <c r="E195" i="4"/>
  <c r="E196" i="4"/>
  <c r="E194" i="4"/>
  <c r="D181" i="4" l="1"/>
  <c r="D177" i="4"/>
  <c r="D176" i="4"/>
  <c r="C181" i="4"/>
  <c r="C177" i="4"/>
  <c r="C176" i="4"/>
  <c r="E181" i="4"/>
  <c r="F176" i="4" s="1"/>
  <c r="D61" i="4"/>
  <c r="C61" i="4"/>
  <c r="B61" i="4"/>
  <c r="O169" i="4"/>
  <c r="N169" i="4"/>
  <c r="M169" i="4"/>
  <c r="L169" i="4"/>
  <c r="K169" i="4"/>
  <c r="J169" i="4"/>
  <c r="I169" i="4"/>
  <c r="H169" i="4"/>
  <c r="G169" i="4"/>
  <c r="O165" i="4"/>
  <c r="N165" i="4"/>
  <c r="M165" i="4"/>
  <c r="L165" i="4"/>
  <c r="K165" i="4"/>
  <c r="J165" i="4"/>
  <c r="I165" i="4"/>
  <c r="H165" i="4"/>
  <c r="G165" i="4"/>
  <c r="F165" i="4"/>
  <c r="F169" i="4"/>
  <c r="O132" i="4"/>
  <c r="N132" i="4"/>
  <c r="M132" i="4"/>
  <c r="L132" i="4"/>
  <c r="K132" i="4"/>
  <c r="J132" i="4"/>
  <c r="I132" i="4"/>
  <c r="H132" i="4"/>
  <c r="G132" i="4"/>
  <c r="F132" i="4"/>
  <c r="F155" i="4"/>
  <c r="N153" i="4"/>
  <c r="M153" i="4"/>
  <c r="J153" i="4"/>
  <c r="I153" i="4"/>
  <c r="F153" i="4"/>
  <c r="F197" i="4" s="1"/>
  <c r="F152" i="4"/>
  <c r="L153" i="4" s="1"/>
  <c r="K148" i="4"/>
  <c r="G148" i="4"/>
  <c r="F147" i="4"/>
  <c r="J148" i="4" s="1"/>
  <c r="F145" i="4"/>
  <c r="F195" i="4" s="1"/>
  <c r="F142" i="4"/>
  <c r="F144" i="4" s="1"/>
  <c r="O131" i="4"/>
  <c r="N131" i="4"/>
  <c r="M131" i="4"/>
  <c r="L131" i="4"/>
  <c r="K131" i="4"/>
  <c r="J131" i="4"/>
  <c r="I131" i="4"/>
  <c r="H131" i="4"/>
  <c r="G131" i="4"/>
  <c r="F131" i="4"/>
  <c r="O130" i="4"/>
  <c r="N130" i="4"/>
  <c r="M130" i="4"/>
  <c r="L130" i="4"/>
  <c r="K130" i="4"/>
  <c r="J130" i="4"/>
  <c r="I130" i="4"/>
  <c r="H130" i="4"/>
  <c r="G130" i="4"/>
  <c r="F130" i="4"/>
  <c r="O129" i="4"/>
  <c r="N129" i="4"/>
  <c r="M129" i="4"/>
  <c r="L129" i="4"/>
  <c r="K129" i="4"/>
  <c r="J129" i="4"/>
  <c r="I129" i="4"/>
  <c r="H129" i="4"/>
  <c r="G129" i="4"/>
  <c r="F129" i="4"/>
  <c r="J80" i="4" l="1"/>
  <c r="J161" i="4" s="1"/>
  <c r="H148" i="4"/>
  <c r="F154" i="4"/>
  <c r="G152" i="4" s="1"/>
  <c r="I148" i="4"/>
  <c r="M148" i="4"/>
  <c r="F150" i="4"/>
  <c r="G153" i="4"/>
  <c r="K153" i="4"/>
  <c r="G80" i="4"/>
  <c r="G161" i="4" s="1"/>
  <c r="K80" i="4"/>
  <c r="K161" i="4" s="1"/>
  <c r="L148" i="4"/>
  <c r="G142" i="4"/>
  <c r="F148" i="4"/>
  <c r="H153" i="4"/>
  <c r="D119" i="4"/>
  <c r="C119" i="4"/>
  <c r="B119" i="4"/>
  <c r="B76" i="4"/>
  <c r="C76" i="4"/>
  <c r="D76" i="4"/>
  <c r="E111" i="4"/>
  <c r="F108" i="4" s="1"/>
  <c r="D15" i="4"/>
  <c r="C15" i="4"/>
  <c r="G15" i="4" s="1"/>
  <c r="B15" i="4"/>
  <c r="D14" i="4"/>
  <c r="C14" i="4"/>
  <c r="B14" i="4"/>
  <c r="F14" i="4" s="1"/>
  <c r="M14" i="4" s="1"/>
  <c r="O15" i="4"/>
  <c r="K15" i="4"/>
  <c r="N15" i="4"/>
  <c r="E108" i="4"/>
  <c r="L80" i="4" l="1"/>
  <c r="L161" i="4" s="1"/>
  <c r="G154" i="4"/>
  <c r="H152" i="4" s="1"/>
  <c r="G155" i="4"/>
  <c r="G197" i="4" s="1"/>
  <c r="F196" i="4"/>
  <c r="F80" i="4"/>
  <c r="F161" i="4" s="1"/>
  <c r="I80" i="4"/>
  <c r="I161" i="4" s="1"/>
  <c r="H80" i="4"/>
  <c r="H161" i="4" s="1"/>
  <c r="G144" i="4"/>
  <c r="G145" i="4"/>
  <c r="G195" i="4" s="1"/>
  <c r="H142" i="4"/>
  <c r="F149" i="4"/>
  <c r="G147" i="4" s="1"/>
  <c r="N14" i="4"/>
  <c r="H15" i="4"/>
  <c r="L15" i="4"/>
  <c r="G14" i="4"/>
  <c r="K14" i="4"/>
  <c r="O14" i="4"/>
  <c r="I15" i="4"/>
  <c r="M15" i="4"/>
  <c r="H14" i="4"/>
  <c r="L14" i="4"/>
  <c r="J14" i="4"/>
  <c r="F15" i="4"/>
  <c r="J15" i="4"/>
  <c r="I14" i="4"/>
  <c r="D69" i="4"/>
  <c r="D72" i="4"/>
  <c r="C72" i="4"/>
  <c r="D71" i="4"/>
  <c r="C71" i="4"/>
  <c r="D70" i="4"/>
  <c r="C70" i="4"/>
  <c r="C69" i="4"/>
  <c r="G150" i="4" l="1"/>
  <c r="G196" i="4" s="1"/>
  <c r="G149" i="4"/>
  <c r="H147" i="4" s="1"/>
  <c r="H155" i="4"/>
  <c r="H197" i="4" s="1"/>
  <c r="H154" i="4"/>
  <c r="I152" i="4" s="1"/>
  <c r="I142" i="4"/>
  <c r="H145" i="4"/>
  <c r="H195" i="4" s="1"/>
  <c r="H144" i="4"/>
  <c r="E99" i="4"/>
  <c r="E100" i="4" s="1"/>
  <c r="D93" i="4"/>
  <c r="D94" i="4" s="1"/>
  <c r="C93" i="4"/>
  <c r="B93" i="4"/>
  <c r="D92" i="4"/>
  <c r="C92" i="4"/>
  <c r="B92" i="4"/>
  <c r="D91" i="4"/>
  <c r="C91" i="4"/>
  <c r="B91" i="4"/>
  <c r="J142" i="4" l="1"/>
  <c r="I145" i="4"/>
  <c r="I195" i="4" s="1"/>
  <c r="I144" i="4"/>
  <c r="H150" i="4"/>
  <c r="H196" i="4" s="1"/>
  <c r="H149" i="4"/>
  <c r="I147" i="4" s="1"/>
  <c r="I154" i="4"/>
  <c r="J152" i="4" s="1"/>
  <c r="I155" i="4"/>
  <c r="I197" i="4" s="1"/>
  <c r="B94" i="4"/>
  <c r="C94" i="4"/>
  <c r="D68" i="4" s="1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C99" i="4" s="1"/>
  <c r="B9" i="4"/>
  <c r="B99" i="4" s="1"/>
  <c r="D8" i="4"/>
  <c r="C8" i="4"/>
  <c r="C98" i="4" s="1"/>
  <c r="B8" i="4"/>
  <c r="B98" i="4" s="1"/>
  <c r="D7" i="4"/>
  <c r="C7" i="4"/>
  <c r="C97" i="4" s="1"/>
  <c r="B7" i="4"/>
  <c r="B97" i="4" s="1"/>
  <c r="J154" i="4" l="1"/>
  <c r="K152" i="4" s="1"/>
  <c r="J155" i="4"/>
  <c r="J197" i="4" s="1"/>
  <c r="I149" i="4"/>
  <c r="J147" i="4" s="1"/>
  <c r="I150" i="4"/>
  <c r="I196" i="4" s="1"/>
  <c r="K142" i="4"/>
  <c r="J144" i="4"/>
  <c r="J145" i="4"/>
  <c r="J195" i="4" s="1"/>
  <c r="C68" i="4"/>
  <c r="C100" i="4"/>
  <c r="O11" i="4"/>
  <c r="K11" i="4"/>
  <c r="G11" i="4"/>
  <c r="N11" i="4"/>
  <c r="J11" i="4"/>
  <c r="F11" i="4"/>
  <c r="L11" i="4"/>
  <c r="M11" i="4"/>
  <c r="I11" i="4"/>
  <c r="H11" i="4"/>
  <c r="L10" i="4"/>
  <c r="H10" i="4"/>
  <c r="M10" i="4"/>
  <c r="O10" i="4"/>
  <c r="K10" i="4"/>
  <c r="G10" i="4"/>
  <c r="I10" i="4"/>
  <c r="N10" i="4"/>
  <c r="J10" i="4"/>
  <c r="F10" i="4"/>
  <c r="D97" i="4"/>
  <c r="N7" i="4"/>
  <c r="N97" i="4" s="1"/>
  <c r="J7" i="4"/>
  <c r="J97" i="4" s="1"/>
  <c r="F7" i="4"/>
  <c r="F97" i="4" s="1"/>
  <c r="G7" i="4"/>
  <c r="G97" i="4" s="1"/>
  <c r="M7" i="4"/>
  <c r="M97" i="4" s="1"/>
  <c r="I7" i="4"/>
  <c r="I97" i="4" s="1"/>
  <c r="H7" i="4"/>
  <c r="H97" i="4" s="1"/>
  <c r="K7" i="4"/>
  <c r="K97" i="4" s="1"/>
  <c r="L7" i="4"/>
  <c r="L97" i="4" s="1"/>
  <c r="O7" i="4"/>
  <c r="O97" i="4" s="1"/>
  <c r="B100" i="4"/>
  <c r="N9" i="4"/>
  <c r="N99" i="4" s="1"/>
  <c r="J9" i="4"/>
  <c r="J99" i="4" s="1"/>
  <c r="F9" i="4"/>
  <c r="F99" i="4" s="1"/>
  <c r="D99" i="4"/>
  <c r="K9" i="4"/>
  <c r="K99" i="4" s="1"/>
  <c r="M9" i="4"/>
  <c r="M99" i="4" s="1"/>
  <c r="I9" i="4"/>
  <c r="I99" i="4" s="1"/>
  <c r="L9" i="4"/>
  <c r="L99" i="4" s="1"/>
  <c r="H9" i="4"/>
  <c r="H99" i="4" s="1"/>
  <c r="O9" i="4"/>
  <c r="O99" i="4" s="1"/>
  <c r="G9" i="4"/>
  <c r="G99" i="4" s="1"/>
  <c r="O13" i="4"/>
  <c r="K13" i="4"/>
  <c r="G13" i="4"/>
  <c r="N13" i="4"/>
  <c r="J13" i="4"/>
  <c r="F13" i="4"/>
  <c r="H13" i="4"/>
  <c r="M13" i="4"/>
  <c r="I13" i="4"/>
  <c r="L13" i="4"/>
  <c r="D98" i="4"/>
  <c r="L8" i="4"/>
  <c r="L98" i="4" s="1"/>
  <c r="H8" i="4"/>
  <c r="H98" i="4" s="1"/>
  <c r="I8" i="4"/>
  <c r="I98" i="4" s="1"/>
  <c r="O8" i="4"/>
  <c r="O98" i="4" s="1"/>
  <c r="K8" i="4"/>
  <c r="K98" i="4" s="1"/>
  <c r="G8" i="4"/>
  <c r="G98" i="4" s="1"/>
  <c r="M8" i="4"/>
  <c r="M98" i="4" s="1"/>
  <c r="N8" i="4"/>
  <c r="N98" i="4" s="1"/>
  <c r="J8" i="4"/>
  <c r="J98" i="4" s="1"/>
  <c r="F8" i="4"/>
  <c r="F98" i="4" s="1"/>
  <c r="N12" i="4"/>
  <c r="J12" i="4"/>
  <c r="F12" i="4"/>
  <c r="O12" i="4"/>
  <c r="M12" i="4"/>
  <c r="I12" i="4"/>
  <c r="K12" i="4"/>
  <c r="L12" i="4"/>
  <c r="H12" i="4"/>
  <c r="G12" i="4"/>
  <c r="C59" i="4"/>
  <c r="B59" i="4"/>
  <c r="C49" i="4"/>
  <c r="B49" i="4"/>
  <c r="E59" i="4"/>
  <c r="E58" i="4"/>
  <c r="E57" i="4"/>
  <c r="E56" i="4"/>
  <c r="E55" i="4"/>
  <c r="E54" i="4"/>
  <c r="E53" i="4"/>
  <c r="E52" i="4"/>
  <c r="E51" i="4"/>
  <c r="E93" i="4" s="1"/>
  <c r="E50" i="4"/>
  <c r="E47" i="4"/>
  <c r="E46" i="4"/>
  <c r="E113" i="4" s="1"/>
  <c r="E116" i="4" s="1"/>
  <c r="F113" i="4" s="1"/>
  <c r="F116" i="4" s="1"/>
  <c r="E45" i="4"/>
  <c r="E44" i="4"/>
  <c r="E42" i="4"/>
  <c r="E41" i="4"/>
  <c r="E92" i="4" s="1"/>
  <c r="E40" i="4"/>
  <c r="E91" i="4" s="1"/>
  <c r="E39" i="4"/>
  <c r="F163" i="4" s="1"/>
  <c r="D51" i="5"/>
  <c r="E66" i="5"/>
  <c r="B86" i="5"/>
  <c r="B84" i="5"/>
  <c r="B83" i="5"/>
  <c r="B82" i="5"/>
  <c r="E75" i="5"/>
  <c r="E74" i="5"/>
  <c r="E72" i="5"/>
  <c r="E71" i="5"/>
  <c r="D69" i="5"/>
  <c r="E67" i="5"/>
  <c r="E65" i="5"/>
  <c r="E64" i="5"/>
  <c r="E69" i="5" s="1"/>
  <c r="E49" i="4" s="1"/>
  <c r="E61" i="4" s="1"/>
  <c r="E62" i="5"/>
  <c r="E61" i="5"/>
  <c r="E60" i="5"/>
  <c r="E59" i="5"/>
  <c r="D79" i="5"/>
  <c r="D78" i="5"/>
  <c r="D77" i="5"/>
  <c r="D76" i="5"/>
  <c r="D75" i="5"/>
  <c r="D74" i="5"/>
  <c r="D73" i="5"/>
  <c r="D72" i="5"/>
  <c r="D71" i="5"/>
  <c r="D68" i="5"/>
  <c r="D67" i="5"/>
  <c r="D66" i="5"/>
  <c r="D65" i="5"/>
  <c r="D64" i="5"/>
  <c r="D63" i="5"/>
  <c r="D62" i="5"/>
  <c r="D61" i="5"/>
  <c r="D60" i="5"/>
  <c r="D59" i="5"/>
  <c r="C69" i="5"/>
  <c r="B79" i="5"/>
  <c r="B69" i="5"/>
  <c r="D42" i="5"/>
  <c r="G44" i="5"/>
  <c r="D44" i="5" s="1"/>
  <c r="G43" i="5"/>
  <c r="D43" i="5" s="1"/>
  <c r="G42" i="5"/>
  <c r="D46" i="5"/>
  <c r="D39" i="5"/>
  <c r="D38" i="5"/>
  <c r="G46" i="5"/>
  <c r="G39" i="5"/>
  <c r="G38" i="5"/>
  <c r="D50" i="5"/>
  <c r="B6" i="5"/>
  <c r="B7" i="5"/>
  <c r="B8" i="5" s="1"/>
  <c r="B16" i="5"/>
  <c r="B15" i="5"/>
  <c r="D59" i="4"/>
  <c r="D49" i="4"/>
  <c r="J149" i="4" l="1"/>
  <c r="K147" i="4" s="1"/>
  <c r="J150" i="4"/>
  <c r="J196" i="4" s="1"/>
  <c r="L142" i="4"/>
  <c r="K145" i="4"/>
  <c r="K195" i="4" s="1"/>
  <c r="K144" i="4"/>
  <c r="K154" i="4"/>
  <c r="L152" i="4" s="1"/>
  <c r="K155" i="4"/>
  <c r="K197" i="4" s="1"/>
  <c r="E104" i="4"/>
  <c r="F104" i="4" s="1"/>
  <c r="G113" i="4"/>
  <c r="G116" i="4" s="1"/>
  <c r="F46" i="4"/>
  <c r="F100" i="4"/>
  <c r="O100" i="4"/>
  <c r="I100" i="4"/>
  <c r="J100" i="4"/>
  <c r="H100" i="4"/>
  <c r="E94" i="4"/>
  <c r="L100" i="4"/>
  <c r="M100" i="4"/>
  <c r="N100" i="4"/>
  <c r="K100" i="4"/>
  <c r="G100" i="4"/>
  <c r="D100" i="4"/>
  <c r="B35" i="5"/>
  <c r="D52" i="5" s="1"/>
  <c r="D55" i="5" s="1"/>
  <c r="M142" i="4" l="1"/>
  <c r="L145" i="4"/>
  <c r="L195" i="4" s="1"/>
  <c r="L144" i="4"/>
  <c r="L154" i="4"/>
  <c r="M152" i="4" s="1"/>
  <c r="L155" i="4"/>
  <c r="L197" i="4" s="1"/>
  <c r="K149" i="4"/>
  <c r="L147" i="4" s="1"/>
  <c r="K150" i="4"/>
  <c r="K196" i="4" s="1"/>
  <c r="H113" i="4"/>
  <c r="H116" i="4" s="1"/>
  <c r="G46" i="4"/>
  <c r="F122" i="4"/>
  <c r="L104" i="4"/>
  <c r="L122" i="4" s="1"/>
  <c r="H104" i="4"/>
  <c r="H122" i="4" s="1"/>
  <c r="K104" i="4"/>
  <c r="K122" i="4" s="1"/>
  <c r="N104" i="4"/>
  <c r="N122" i="4" s="1"/>
  <c r="M104" i="4"/>
  <c r="M122" i="4" s="1"/>
  <c r="O104" i="4"/>
  <c r="O122" i="4" s="1"/>
  <c r="G104" i="4"/>
  <c r="G122" i="4" s="1"/>
  <c r="J104" i="4"/>
  <c r="J122" i="4" s="1"/>
  <c r="I104" i="4"/>
  <c r="I122" i="4" s="1"/>
  <c r="B54" i="5"/>
  <c r="M154" i="4" l="1"/>
  <c r="N152" i="4" s="1"/>
  <c r="M155" i="4"/>
  <c r="M197" i="4" s="1"/>
  <c r="L149" i="4"/>
  <c r="M147" i="4" s="1"/>
  <c r="L150" i="4"/>
  <c r="L196" i="4" s="1"/>
  <c r="M143" i="4"/>
  <c r="M80" i="4" s="1"/>
  <c r="M161" i="4" s="1"/>
  <c r="M144" i="4"/>
  <c r="M145" i="4"/>
  <c r="M195" i="4" s="1"/>
  <c r="C195" i="4" s="1"/>
  <c r="F44" i="4"/>
  <c r="G44" i="4" s="1"/>
  <c r="H44" i="4" s="1"/>
  <c r="I44" i="4" s="1"/>
  <c r="J44" i="4" s="1"/>
  <c r="K44" i="4" s="1"/>
  <c r="L44" i="4" s="1"/>
  <c r="M44" i="4" s="1"/>
  <c r="N44" i="4" s="1"/>
  <c r="O44" i="4" s="1"/>
  <c r="I113" i="4"/>
  <c r="I116" i="4" s="1"/>
  <c r="H46" i="4"/>
  <c r="B55" i="5"/>
  <c r="E77" i="5"/>
  <c r="E79" i="5" s="1"/>
  <c r="F81" i="5" s="1"/>
  <c r="M149" i="4" l="1"/>
  <c r="N147" i="4" s="1"/>
  <c r="M150" i="4"/>
  <c r="M196" i="4" s="1"/>
  <c r="N154" i="4"/>
  <c r="O152" i="4" s="1"/>
  <c r="N155" i="4"/>
  <c r="N197" i="4" s="1"/>
  <c r="J113" i="4"/>
  <c r="J116" i="4" s="1"/>
  <c r="I46" i="4"/>
  <c r="B4" i="5"/>
  <c r="O153" i="4" l="1"/>
  <c r="O155" i="4"/>
  <c r="O154" i="4"/>
  <c r="N149" i="4"/>
  <c r="N148" i="4"/>
  <c r="N150" i="4"/>
  <c r="K113" i="4"/>
  <c r="K116" i="4" s="1"/>
  <c r="J46" i="4"/>
  <c r="F19" i="4"/>
  <c r="C26" i="4"/>
  <c r="H20" i="4"/>
  <c r="G20" i="4"/>
  <c r="K6" i="4"/>
  <c r="K26" i="4" s="1"/>
  <c r="F6" i="4"/>
  <c r="D6" i="4"/>
  <c r="M6" i="4" s="1"/>
  <c r="C6" i="4"/>
  <c r="B6" i="4"/>
  <c r="B26" i="4" s="1"/>
  <c r="O5" i="4"/>
  <c r="O22" i="4" s="1"/>
  <c r="G5" i="4"/>
  <c r="G22" i="4" s="1"/>
  <c r="D5" i="4"/>
  <c r="N5" i="4" s="1"/>
  <c r="N22" i="4" s="1"/>
  <c r="C5" i="4"/>
  <c r="C22" i="4" s="1"/>
  <c r="B5" i="4"/>
  <c r="B22" i="4" s="1"/>
  <c r="I4" i="4"/>
  <c r="I20" i="4" s="1"/>
  <c r="D4" i="4"/>
  <c r="D20" i="4" s="1"/>
  <c r="C4" i="4"/>
  <c r="C20" i="4" s="1"/>
  <c r="N196" i="4" l="1"/>
  <c r="C196" i="4" s="1"/>
  <c r="N80" i="4"/>
  <c r="N161" i="4" s="1"/>
  <c r="O197" i="4"/>
  <c r="C197" i="4" s="1"/>
  <c r="O80" i="4"/>
  <c r="O161" i="4" s="1"/>
  <c r="F25" i="4"/>
  <c r="G6" i="4"/>
  <c r="G26" i="4" s="1"/>
  <c r="L6" i="4"/>
  <c r="L26" i="4" s="1"/>
  <c r="H6" i="4"/>
  <c r="H26" i="4" s="1"/>
  <c r="N6" i="4"/>
  <c r="N26" i="4" s="1"/>
  <c r="K5" i="4"/>
  <c r="K22" i="4" s="1"/>
  <c r="J6" i="4"/>
  <c r="J26" i="4" s="1"/>
  <c r="O6" i="4"/>
  <c r="O26" i="4" s="1"/>
  <c r="D22" i="4"/>
  <c r="F109" i="4"/>
  <c r="F119" i="4"/>
  <c r="F110" i="4" s="1"/>
  <c r="L113" i="4"/>
  <c r="L116" i="4" s="1"/>
  <c r="K46" i="4"/>
  <c r="M26" i="4"/>
  <c r="F55" i="4"/>
  <c r="F72" i="4" s="1"/>
  <c r="F91" i="4"/>
  <c r="F52" i="4"/>
  <c r="F70" i="4" s="1"/>
  <c r="F47" i="4"/>
  <c r="F71" i="4" s="1"/>
  <c r="F42" i="4"/>
  <c r="F69" i="4" s="1"/>
  <c r="H5" i="4"/>
  <c r="H22" i="4" s="1"/>
  <c r="L5" i="4"/>
  <c r="L22" i="4" s="1"/>
  <c r="D26" i="4"/>
  <c r="G19" i="4"/>
  <c r="G25" i="4" s="1"/>
  <c r="M5" i="4"/>
  <c r="M22" i="4" s="1"/>
  <c r="F26" i="4"/>
  <c r="J4" i="4"/>
  <c r="I5" i="4"/>
  <c r="I22" i="4" s="1"/>
  <c r="F5" i="4"/>
  <c r="F22" i="4" s="1"/>
  <c r="J5" i="4"/>
  <c r="J22" i="4" s="1"/>
  <c r="I6" i="4"/>
  <c r="B23" i="4"/>
  <c r="C23" i="4"/>
  <c r="D23" i="4"/>
  <c r="D24" i="4" s="1"/>
  <c r="G21" i="4" l="1"/>
  <c r="G93" i="4" s="1"/>
  <c r="G51" i="4" s="1"/>
  <c r="F67" i="4"/>
  <c r="F28" i="4"/>
  <c r="D27" i="4"/>
  <c r="G119" i="4"/>
  <c r="G110" i="4" s="1"/>
  <c r="G109" i="4"/>
  <c r="G75" i="4" s="1"/>
  <c r="G76" i="4" s="1"/>
  <c r="G160" i="4" s="1"/>
  <c r="F111" i="4"/>
  <c r="F75" i="4"/>
  <c r="F76" i="4" s="1"/>
  <c r="F160" i="4" s="1"/>
  <c r="M113" i="4"/>
  <c r="M116" i="4" s="1"/>
  <c r="L46" i="4"/>
  <c r="D29" i="4"/>
  <c r="D32" i="4" s="1"/>
  <c r="D34" i="4" s="1"/>
  <c r="D66" i="4" s="1"/>
  <c r="D73" i="4" s="1"/>
  <c r="B9" i="5"/>
  <c r="B10" i="5" s="1"/>
  <c r="F21" i="4"/>
  <c r="K4" i="4"/>
  <c r="L4" i="4" s="1"/>
  <c r="J20" i="4"/>
  <c r="G47" i="4"/>
  <c r="G71" i="4" s="1"/>
  <c r="G55" i="4"/>
  <c r="G72" i="4" s="1"/>
  <c r="G91" i="4"/>
  <c r="G42" i="4"/>
  <c r="G69" i="4" s="1"/>
  <c r="G52" i="4"/>
  <c r="G70" i="4" s="1"/>
  <c r="H19" i="4"/>
  <c r="F40" i="4"/>
  <c r="C27" i="4"/>
  <c r="C29" i="4" s="1"/>
  <c r="C32" i="4" s="1"/>
  <c r="C34" i="4" s="1"/>
  <c r="C66" i="4" s="1"/>
  <c r="C73" i="4" s="1"/>
  <c r="C24" i="4"/>
  <c r="I26" i="4"/>
  <c r="B27" i="4"/>
  <c r="B29" i="4" s="1"/>
  <c r="B32" i="4" s="1"/>
  <c r="B34" i="4" s="1"/>
  <c r="B66" i="4" s="1"/>
  <c r="B24" i="4"/>
  <c r="B202" i="4" l="1"/>
  <c r="G23" i="4"/>
  <c r="G27" i="4" s="1"/>
  <c r="G92" i="4"/>
  <c r="G41" i="4" s="1"/>
  <c r="G28" i="4"/>
  <c r="G67" i="4"/>
  <c r="H119" i="4"/>
  <c r="H110" i="4" s="1"/>
  <c r="H109" i="4"/>
  <c r="H75" i="4" s="1"/>
  <c r="H76" i="4" s="1"/>
  <c r="H160" i="4" s="1"/>
  <c r="F45" i="4"/>
  <c r="G108" i="4"/>
  <c r="G111" i="4" s="1"/>
  <c r="N113" i="4"/>
  <c r="N116" i="4" s="1"/>
  <c r="M46" i="4"/>
  <c r="F93" i="4"/>
  <c r="F51" i="4" s="1"/>
  <c r="F92" i="4"/>
  <c r="F23" i="4"/>
  <c r="I19" i="4"/>
  <c r="H91" i="4"/>
  <c r="H47" i="4"/>
  <c r="H71" i="4" s="1"/>
  <c r="H42" i="4"/>
  <c r="H69" i="4" s="1"/>
  <c r="H55" i="4"/>
  <c r="H72" i="4" s="1"/>
  <c r="H52" i="4"/>
  <c r="H70" i="4" s="1"/>
  <c r="H25" i="4"/>
  <c r="G40" i="4"/>
  <c r="G94" i="4"/>
  <c r="K20" i="4"/>
  <c r="H21" i="4"/>
  <c r="H23" i="4" s="1"/>
  <c r="G24" i="4" l="1"/>
  <c r="I109" i="4"/>
  <c r="I75" i="4" s="1"/>
  <c r="I76" i="4" s="1"/>
  <c r="I160" i="4" s="1"/>
  <c r="I119" i="4"/>
  <c r="I110" i="4" s="1"/>
  <c r="H28" i="4"/>
  <c r="H67" i="4"/>
  <c r="G45" i="4"/>
  <c r="H108" i="4"/>
  <c r="H111" i="4" s="1"/>
  <c r="G29" i="4"/>
  <c r="O113" i="4"/>
  <c r="O116" i="4" s="1"/>
  <c r="O46" i="4" s="1"/>
  <c r="N46" i="4"/>
  <c r="H40" i="4"/>
  <c r="F27" i="4"/>
  <c r="F29" i="4" s="1"/>
  <c r="F24" i="4"/>
  <c r="H92" i="4"/>
  <c r="H41" i="4" s="1"/>
  <c r="H93" i="4"/>
  <c r="H51" i="4" s="1"/>
  <c r="J19" i="4"/>
  <c r="I47" i="4"/>
  <c r="I71" i="4" s="1"/>
  <c r="I52" i="4"/>
  <c r="I70" i="4" s="1"/>
  <c r="I91" i="4"/>
  <c r="I55" i="4"/>
  <c r="I72" i="4" s="1"/>
  <c r="I42" i="4"/>
  <c r="I69" i="4" s="1"/>
  <c r="I25" i="4"/>
  <c r="I21" i="4"/>
  <c r="F41" i="4"/>
  <c r="F94" i="4"/>
  <c r="F68" i="4" s="1"/>
  <c r="H27" i="4"/>
  <c r="H24" i="4"/>
  <c r="M4" i="4"/>
  <c r="L20" i="4"/>
  <c r="H29" i="4" l="1"/>
  <c r="J119" i="4"/>
  <c r="J110" i="4" s="1"/>
  <c r="J109" i="4"/>
  <c r="J75" i="4" s="1"/>
  <c r="J76" i="4" s="1"/>
  <c r="J160" i="4" s="1"/>
  <c r="I108" i="4"/>
  <c r="I111" i="4" s="1"/>
  <c r="H45" i="4"/>
  <c r="I28" i="4"/>
  <c r="I67" i="4"/>
  <c r="I93" i="4"/>
  <c r="I51" i="4" s="1"/>
  <c r="I92" i="4"/>
  <c r="I41" i="4" s="1"/>
  <c r="I40" i="4"/>
  <c r="H94" i="4"/>
  <c r="H68" i="4" s="1"/>
  <c r="K19" i="4"/>
  <c r="J42" i="4"/>
  <c r="J69" i="4" s="1"/>
  <c r="J52" i="4"/>
  <c r="J70" i="4" s="1"/>
  <c r="J47" i="4"/>
  <c r="J71" i="4" s="1"/>
  <c r="J91" i="4"/>
  <c r="J55" i="4"/>
  <c r="J72" i="4" s="1"/>
  <c r="J25" i="4"/>
  <c r="J21" i="4"/>
  <c r="J23" i="4" s="1"/>
  <c r="I23" i="4"/>
  <c r="N4" i="4"/>
  <c r="M20" i="4"/>
  <c r="G68" i="4"/>
  <c r="K119" i="4" l="1"/>
  <c r="K110" i="4" s="1"/>
  <c r="K109" i="4"/>
  <c r="K75" i="4" s="1"/>
  <c r="K76" i="4" s="1"/>
  <c r="K160" i="4" s="1"/>
  <c r="J108" i="4"/>
  <c r="J111" i="4" s="1"/>
  <c r="I45" i="4"/>
  <c r="J67" i="4"/>
  <c r="J28" i="4"/>
  <c r="J27" i="4"/>
  <c r="J24" i="4"/>
  <c r="I27" i="4"/>
  <c r="I29" i="4" s="1"/>
  <c r="I24" i="4"/>
  <c r="I94" i="4"/>
  <c r="I68" i="4" s="1"/>
  <c r="J92" i="4"/>
  <c r="J41" i="4" s="1"/>
  <c r="J93" i="4"/>
  <c r="J51" i="4" s="1"/>
  <c r="J40" i="4"/>
  <c r="L19" i="4"/>
  <c r="K52" i="4"/>
  <c r="K70" i="4" s="1"/>
  <c r="K42" i="4"/>
  <c r="K69" i="4" s="1"/>
  <c r="K55" i="4"/>
  <c r="K72" i="4" s="1"/>
  <c r="K91" i="4"/>
  <c r="K47" i="4"/>
  <c r="K71" i="4" s="1"/>
  <c r="K25" i="4"/>
  <c r="K21" i="4"/>
  <c r="K23" i="4" s="1"/>
  <c r="O4" i="4"/>
  <c r="O20" i="4" s="1"/>
  <c r="N20" i="4"/>
  <c r="J29" i="4" l="1"/>
  <c r="K108" i="4"/>
  <c r="K111" i="4" s="1"/>
  <c r="J45" i="4"/>
  <c r="L119" i="4"/>
  <c r="L110" i="4" s="1"/>
  <c r="L109" i="4"/>
  <c r="L75" i="4" s="1"/>
  <c r="L76" i="4" s="1"/>
  <c r="L160" i="4" s="1"/>
  <c r="K67" i="4"/>
  <c r="K28" i="4"/>
  <c r="K40" i="4"/>
  <c r="M19" i="4"/>
  <c r="L52" i="4"/>
  <c r="L70" i="4" s="1"/>
  <c r="L47" i="4"/>
  <c r="L71" i="4" s="1"/>
  <c r="L91" i="4"/>
  <c r="L55" i="4"/>
  <c r="L72" i="4" s="1"/>
  <c r="L42" i="4"/>
  <c r="L69" i="4" s="1"/>
  <c r="L25" i="4"/>
  <c r="L21" i="4"/>
  <c r="K27" i="4"/>
  <c r="K24" i="4"/>
  <c r="K92" i="4"/>
  <c r="K41" i="4" s="1"/>
  <c r="K93" i="4"/>
  <c r="K51" i="4" s="1"/>
  <c r="J94" i="4"/>
  <c r="J68" i="4" s="1"/>
  <c r="K29" i="4" l="1"/>
  <c r="L67" i="4"/>
  <c r="L28" i="4"/>
  <c r="K45" i="4"/>
  <c r="L108" i="4"/>
  <c r="L111" i="4" s="1"/>
  <c r="M109" i="4"/>
  <c r="M75" i="4" s="1"/>
  <c r="M76" i="4" s="1"/>
  <c r="M160" i="4" s="1"/>
  <c r="M119" i="4"/>
  <c r="M110" i="4" s="1"/>
  <c r="L92" i="4"/>
  <c r="L41" i="4" s="1"/>
  <c r="L93" i="4"/>
  <c r="L51" i="4" s="1"/>
  <c r="N19" i="4"/>
  <c r="M91" i="4"/>
  <c r="M52" i="4"/>
  <c r="M70" i="4" s="1"/>
  <c r="M55" i="4"/>
  <c r="M72" i="4" s="1"/>
  <c r="M47" i="4"/>
  <c r="M71" i="4" s="1"/>
  <c r="M42" i="4"/>
  <c r="M69" i="4" s="1"/>
  <c r="M25" i="4"/>
  <c r="M21" i="4"/>
  <c r="L40" i="4"/>
  <c r="K94" i="4"/>
  <c r="K68" i="4" s="1"/>
  <c r="L23" i="4"/>
  <c r="M108" i="4" l="1"/>
  <c r="M111" i="4" s="1"/>
  <c r="L45" i="4"/>
  <c r="M67" i="4"/>
  <c r="M28" i="4"/>
  <c r="N119" i="4"/>
  <c r="N110" i="4" s="1"/>
  <c r="N109" i="4"/>
  <c r="N75" i="4" s="1"/>
  <c r="N76" i="4" s="1"/>
  <c r="N160" i="4" s="1"/>
  <c r="M40" i="4"/>
  <c r="L27" i="4"/>
  <c r="L29" i="4" s="1"/>
  <c r="L24" i="4"/>
  <c r="M92" i="4"/>
  <c r="M41" i="4" s="1"/>
  <c r="M93" i="4"/>
  <c r="M51" i="4" s="1"/>
  <c r="O19" i="4"/>
  <c r="N47" i="4"/>
  <c r="N71" i="4" s="1"/>
  <c r="N91" i="4"/>
  <c r="N52" i="4"/>
  <c r="N70" i="4" s="1"/>
  <c r="N55" i="4"/>
  <c r="N72" i="4" s="1"/>
  <c r="N42" i="4"/>
  <c r="N69" i="4" s="1"/>
  <c r="N21" i="4"/>
  <c r="N25" i="4"/>
  <c r="L94" i="4"/>
  <c r="L68" i="4" s="1"/>
  <c r="M23" i="4"/>
  <c r="O119" i="4" l="1"/>
  <c r="O110" i="4" s="1"/>
  <c r="O109" i="4"/>
  <c r="O75" i="4" s="1"/>
  <c r="O76" i="4" s="1"/>
  <c r="O160" i="4" s="1"/>
  <c r="N67" i="4"/>
  <c r="N28" i="4"/>
  <c r="M45" i="4"/>
  <c r="N108" i="4"/>
  <c r="N111" i="4" s="1"/>
  <c r="O55" i="4"/>
  <c r="O72" i="4" s="1"/>
  <c r="O42" i="4"/>
  <c r="O69" i="4" s="1"/>
  <c r="O91" i="4"/>
  <c r="O47" i="4"/>
  <c r="O71" i="4" s="1"/>
  <c r="O52" i="4"/>
  <c r="O70" i="4" s="1"/>
  <c r="O25" i="4"/>
  <c r="O21" i="4"/>
  <c r="N93" i="4"/>
  <c r="N51" i="4" s="1"/>
  <c r="N92" i="4"/>
  <c r="N41" i="4" s="1"/>
  <c r="M27" i="4"/>
  <c r="M29" i="4" s="1"/>
  <c r="M24" i="4"/>
  <c r="N23" i="4"/>
  <c r="N40" i="4"/>
  <c r="M94" i="4"/>
  <c r="M68" i="4" s="1"/>
  <c r="O108" i="4" l="1"/>
  <c r="O111" i="4" s="1"/>
  <c r="O45" i="4" s="1"/>
  <c r="N45" i="4"/>
  <c r="O67" i="4"/>
  <c r="O28" i="4"/>
  <c r="N94" i="4"/>
  <c r="N68" i="4" s="1"/>
  <c r="O93" i="4"/>
  <c r="O51" i="4" s="1"/>
  <c r="O92" i="4"/>
  <c r="O41" i="4" s="1"/>
  <c r="O40" i="4"/>
  <c r="O23" i="4"/>
  <c r="N27" i="4"/>
  <c r="N29" i="4" s="1"/>
  <c r="N24" i="4"/>
  <c r="O27" i="4" l="1"/>
  <c r="O24" i="4"/>
  <c r="O94" i="4"/>
  <c r="O68" i="4" s="1"/>
  <c r="O29" i="4" l="1"/>
  <c r="B185" i="4"/>
  <c r="B187" i="4" s="1"/>
  <c r="F30" i="4"/>
  <c r="G30" i="4"/>
  <c r="H30" i="4"/>
  <c r="I30" i="4"/>
  <c r="J30" i="4"/>
  <c r="K30" i="4"/>
  <c r="L30" i="4"/>
  <c r="M30" i="4"/>
  <c r="N30" i="4"/>
  <c r="O30" i="4"/>
  <c r="F32" i="4"/>
  <c r="G32" i="4"/>
  <c r="H32" i="4"/>
  <c r="I32" i="4"/>
  <c r="J32" i="4"/>
  <c r="K32" i="4"/>
  <c r="L32" i="4"/>
  <c r="M32" i="4"/>
  <c r="N32" i="4"/>
  <c r="O32" i="4"/>
  <c r="F33" i="4"/>
  <c r="G33" i="4"/>
  <c r="H33" i="4"/>
  <c r="I33" i="4"/>
  <c r="J33" i="4"/>
  <c r="K33" i="4"/>
  <c r="L33" i="4"/>
  <c r="M33" i="4"/>
  <c r="N33" i="4"/>
  <c r="O33" i="4"/>
  <c r="F34" i="4"/>
  <c r="G34" i="4"/>
  <c r="H34" i="4"/>
  <c r="I34" i="4"/>
  <c r="J34" i="4"/>
  <c r="K34" i="4"/>
  <c r="L34" i="4"/>
  <c r="M34" i="4"/>
  <c r="N34" i="4"/>
  <c r="O34" i="4"/>
  <c r="F39" i="4"/>
  <c r="G39" i="4"/>
  <c r="H39" i="4"/>
  <c r="I39" i="4"/>
  <c r="J39" i="4"/>
  <c r="K39" i="4"/>
  <c r="L39" i="4"/>
  <c r="M39" i="4"/>
  <c r="N39" i="4"/>
  <c r="O39" i="4"/>
  <c r="F49" i="4"/>
  <c r="G49" i="4"/>
  <c r="H49" i="4"/>
  <c r="I49" i="4"/>
  <c r="J49" i="4"/>
  <c r="K49" i="4"/>
  <c r="L49" i="4"/>
  <c r="M49" i="4"/>
  <c r="N49" i="4"/>
  <c r="O49" i="4"/>
  <c r="F54" i="4"/>
  <c r="G54" i="4"/>
  <c r="H54" i="4"/>
  <c r="I54" i="4"/>
  <c r="J54" i="4"/>
  <c r="K54" i="4"/>
  <c r="L54" i="4"/>
  <c r="M54" i="4"/>
  <c r="N54" i="4"/>
  <c r="O54" i="4"/>
  <c r="F57" i="4"/>
  <c r="G57" i="4"/>
  <c r="H57" i="4"/>
  <c r="I57" i="4"/>
  <c r="J57" i="4"/>
  <c r="K57" i="4"/>
  <c r="L57" i="4"/>
  <c r="M57" i="4"/>
  <c r="N57" i="4"/>
  <c r="O57" i="4"/>
  <c r="F59" i="4"/>
  <c r="G59" i="4"/>
  <c r="H59" i="4"/>
  <c r="I59" i="4"/>
  <c r="J59" i="4"/>
  <c r="K59" i="4"/>
  <c r="L59" i="4"/>
  <c r="M59" i="4"/>
  <c r="N59" i="4"/>
  <c r="O59" i="4"/>
  <c r="F61" i="4"/>
  <c r="G61" i="4"/>
  <c r="H61" i="4"/>
  <c r="I61" i="4"/>
  <c r="J61" i="4"/>
  <c r="K61" i="4"/>
  <c r="L61" i="4"/>
  <c r="M61" i="4"/>
  <c r="N61" i="4"/>
  <c r="O61" i="4"/>
  <c r="F66" i="4"/>
  <c r="G66" i="4"/>
  <c r="H66" i="4"/>
  <c r="I66" i="4"/>
  <c r="J66" i="4"/>
  <c r="K66" i="4"/>
  <c r="L66" i="4"/>
  <c r="M66" i="4"/>
  <c r="N66" i="4"/>
  <c r="O66" i="4"/>
  <c r="F73" i="4"/>
  <c r="G73" i="4"/>
  <c r="H73" i="4"/>
  <c r="I73" i="4"/>
  <c r="J73" i="4"/>
  <c r="K73" i="4"/>
  <c r="L73" i="4"/>
  <c r="M73" i="4"/>
  <c r="N73" i="4"/>
  <c r="O73" i="4"/>
  <c r="F78" i="4"/>
  <c r="G78" i="4"/>
  <c r="H78" i="4"/>
  <c r="I78" i="4"/>
  <c r="J78" i="4"/>
  <c r="K78" i="4"/>
  <c r="L78" i="4"/>
  <c r="M78" i="4"/>
  <c r="N78" i="4"/>
  <c r="O78" i="4"/>
  <c r="F84" i="4"/>
  <c r="G84" i="4"/>
  <c r="H84" i="4"/>
  <c r="I84" i="4"/>
  <c r="J84" i="4"/>
  <c r="K84" i="4"/>
  <c r="L84" i="4"/>
  <c r="M84" i="4"/>
  <c r="N84" i="4"/>
  <c r="O84" i="4"/>
  <c r="F86" i="4"/>
  <c r="G86" i="4"/>
  <c r="H86" i="4"/>
  <c r="I86" i="4"/>
  <c r="J86" i="4"/>
  <c r="K86" i="4"/>
  <c r="L86" i="4"/>
  <c r="M86" i="4"/>
  <c r="N86" i="4"/>
  <c r="O86" i="4"/>
  <c r="F159" i="4"/>
  <c r="G159" i="4"/>
  <c r="H159" i="4"/>
  <c r="I159" i="4"/>
  <c r="J159" i="4"/>
  <c r="K159" i="4"/>
  <c r="L159" i="4"/>
  <c r="M159" i="4"/>
  <c r="N159" i="4"/>
  <c r="O159" i="4"/>
  <c r="F162" i="4"/>
  <c r="G162" i="4"/>
  <c r="H162" i="4"/>
  <c r="I162" i="4"/>
  <c r="J162" i="4"/>
  <c r="K162" i="4"/>
  <c r="L162" i="4"/>
  <c r="M162" i="4"/>
  <c r="N162" i="4"/>
  <c r="O162" i="4"/>
  <c r="G163" i="4"/>
  <c r="H163" i="4"/>
  <c r="I163" i="4"/>
  <c r="J163" i="4"/>
  <c r="K163" i="4"/>
  <c r="L163" i="4"/>
  <c r="M163" i="4"/>
  <c r="N163" i="4"/>
  <c r="O163" i="4"/>
  <c r="F164" i="4"/>
  <c r="G164" i="4"/>
  <c r="H164" i="4"/>
  <c r="I164" i="4"/>
  <c r="J164" i="4"/>
  <c r="K164" i="4"/>
  <c r="L164" i="4"/>
  <c r="M164" i="4"/>
  <c r="N164" i="4"/>
  <c r="O164" i="4"/>
  <c r="F166" i="4"/>
  <c r="G166" i="4"/>
  <c r="H166" i="4"/>
  <c r="I166" i="4"/>
  <c r="J166" i="4"/>
  <c r="K166" i="4"/>
  <c r="L166" i="4"/>
  <c r="M166" i="4"/>
  <c r="N166" i="4"/>
  <c r="O166" i="4"/>
  <c r="F168" i="4"/>
  <c r="G168" i="4"/>
  <c r="H168" i="4"/>
  <c r="I168" i="4"/>
  <c r="J168" i="4"/>
  <c r="K168" i="4"/>
  <c r="L168" i="4"/>
  <c r="M168" i="4"/>
  <c r="N168" i="4"/>
  <c r="O168" i="4"/>
  <c r="F170" i="4"/>
  <c r="G170" i="4"/>
  <c r="H170" i="4"/>
  <c r="I170" i="4"/>
  <c r="J170" i="4"/>
  <c r="K170" i="4"/>
  <c r="L170" i="4"/>
  <c r="M170" i="4"/>
  <c r="N170" i="4"/>
  <c r="O170" i="4"/>
  <c r="F171" i="4"/>
  <c r="G171" i="4"/>
  <c r="H171" i="4"/>
  <c r="I171" i="4"/>
  <c r="J171" i="4"/>
  <c r="K171" i="4"/>
  <c r="L171" i="4"/>
  <c r="M171" i="4"/>
  <c r="N171" i="4"/>
  <c r="O171" i="4"/>
  <c r="G176" i="4"/>
  <c r="H176" i="4"/>
  <c r="I176" i="4"/>
  <c r="J176" i="4"/>
  <c r="K176" i="4"/>
  <c r="L176" i="4"/>
  <c r="M176" i="4"/>
  <c r="N176" i="4"/>
  <c r="O176" i="4"/>
  <c r="F177" i="4"/>
  <c r="G177" i="4"/>
  <c r="H177" i="4"/>
  <c r="I177" i="4"/>
  <c r="J177" i="4"/>
  <c r="K177" i="4"/>
  <c r="L177" i="4"/>
  <c r="M177" i="4"/>
  <c r="N177" i="4"/>
  <c r="O177" i="4"/>
  <c r="F181" i="4"/>
  <c r="G181" i="4"/>
  <c r="H181" i="4"/>
  <c r="I181" i="4"/>
  <c r="J181" i="4"/>
  <c r="K181" i="4"/>
  <c r="L181" i="4"/>
  <c r="M181" i="4"/>
  <c r="N181" i="4"/>
  <c r="O181" i="4"/>
  <c r="B188" i="4"/>
  <c r="B189" i="4"/>
  <c r="B190" i="4"/>
  <c r="C194" i="4"/>
  <c r="O194" i="4"/>
  <c r="B201" i="4"/>
</calcChain>
</file>

<file path=xl/sharedStrings.xml><?xml version="1.0" encoding="utf-8"?>
<sst xmlns="http://schemas.openxmlformats.org/spreadsheetml/2006/main" count="394" uniqueCount="198">
  <si>
    <t>Revenue</t>
  </si>
  <si>
    <t>DRIVERS</t>
  </si>
  <si>
    <t>Base case</t>
  </si>
  <si>
    <t>Cost of goods sold</t>
  </si>
  <si>
    <t>Operating expenses</t>
  </si>
  <si>
    <t>DSO</t>
  </si>
  <si>
    <t>DIO</t>
  </si>
  <si>
    <t>DPO</t>
  </si>
  <si>
    <t>Other current assets</t>
  </si>
  <si>
    <t>Other noncurrent assets</t>
  </si>
  <si>
    <t>Other current liabilities</t>
  </si>
  <si>
    <t>Other noncurrent liabilities</t>
  </si>
  <si>
    <t>Capex % of revenue</t>
  </si>
  <si>
    <t>P&amp;L</t>
  </si>
  <si>
    <t>$ 000s</t>
  </si>
  <si>
    <t>y-o-y growth</t>
  </si>
  <si>
    <t>% of revenue</t>
  </si>
  <si>
    <t>Gross profit</t>
  </si>
  <si>
    <t>% margin</t>
  </si>
  <si>
    <t>EBITDA</t>
  </si>
  <si>
    <t>D&amp;A</t>
  </si>
  <si>
    <t>EBIT</t>
  </si>
  <si>
    <t>Interest expenses</t>
  </si>
  <si>
    <t>EBT</t>
  </si>
  <si>
    <t>Taxes</t>
  </si>
  <si>
    <t>Net income</t>
  </si>
  <si>
    <t>Other Net</t>
  </si>
  <si>
    <t>Valuation</t>
  </si>
  <si>
    <t>Drivers</t>
  </si>
  <si>
    <t>Target</t>
  </si>
  <si>
    <t>Acquisition premium</t>
  </si>
  <si>
    <t>Price per share at transaction</t>
  </si>
  <si>
    <t>Diluted shares outstanding</t>
  </si>
  <si>
    <t>Fully diluted shares outstanding</t>
  </si>
  <si>
    <t>Equity at transaction</t>
  </si>
  <si>
    <t>Fiscal year end</t>
  </si>
  <si>
    <t>Net debt</t>
  </si>
  <si>
    <t>LBO date</t>
  </si>
  <si>
    <t>Enterprise value</t>
  </si>
  <si>
    <t>First forecast year</t>
  </si>
  <si>
    <t>Days in year</t>
  </si>
  <si>
    <t>EV/EBITDA entry multiple</t>
  </si>
  <si>
    <t>Currency</t>
  </si>
  <si>
    <t>Reporting units</t>
  </si>
  <si>
    <t>Domestic country</t>
  </si>
  <si>
    <t>FV adjustments:</t>
  </si>
  <si>
    <t>Tax rate</t>
  </si>
  <si>
    <t>Trade receivables</t>
  </si>
  <si>
    <t>Minimum cash balance</t>
  </si>
  <si>
    <t>Inventory</t>
  </si>
  <si>
    <t>PP&amp;E</t>
  </si>
  <si>
    <t>Transaction fees</t>
  </si>
  <si>
    <t>Expensed fees</t>
  </si>
  <si>
    <t>Capitalized fees</t>
  </si>
  <si>
    <t>M&amp;A / Sponsor fees</t>
  </si>
  <si>
    <t>Fees</t>
  </si>
  <si>
    <t>Notes</t>
  </si>
  <si>
    <t>Amort. Period</t>
  </si>
  <si>
    <t>Amount</t>
  </si>
  <si>
    <t>Investment bank fee</t>
  </si>
  <si>
    <t>of Transaction value</t>
  </si>
  <si>
    <t>Sponsor fee</t>
  </si>
  <si>
    <t>Debt financing</t>
  </si>
  <si>
    <t>Senior note</t>
  </si>
  <si>
    <t>of Total principal amount</t>
  </si>
  <si>
    <t>Capitalized</t>
  </si>
  <si>
    <t>Term A</t>
  </si>
  <si>
    <t>Term B</t>
  </si>
  <si>
    <t>Legal fees</t>
  </si>
  <si>
    <t>Sources &amp; Uses of funds</t>
  </si>
  <si>
    <t>Sources of Funds</t>
  </si>
  <si>
    <t>Uses of Funds</t>
  </si>
  <si>
    <t>Excess cash</t>
  </si>
  <si>
    <t>Acquisition price</t>
  </si>
  <si>
    <t>Refinance existing debt</t>
  </si>
  <si>
    <t>Fees &amp; expenses</t>
  </si>
  <si>
    <t>Common equity</t>
  </si>
  <si>
    <t>Total</t>
  </si>
  <si>
    <t>Balance Sheet@Transaction</t>
  </si>
  <si>
    <t>BS prior deal</t>
  </si>
  <si>
    <t>FV adj.</t>
  </si>
  <si>
    <t>Fair Value</t>
  </si>
  <si>
    <t>Target BS post deal</t>
  </si>
  <si>
    <t>Cash</t>
  </si>
  <si>
    <t>Capitalized financing costs</t>
  </si>
  <si>
    <t>Goodwill</t>
  </si>
  <si>
    <t>Total assets</t>
  </si>
  <si>
    <t>Trade payables</t>
  </si>
  <si>
    <t>Financial debt</t>
  </si>
  <si>
    <t>Shareholders' equity</t>
  </si>
  <si>
    <t>Total liabilities &amp; equity</t>
  </si>
  <si>
    <t>Equity purchase price</t>
  </si>
  <si>
    <t>Net book value of assets</t>
  </si>
  <si>
    <t>Excess purchase price</t>
  </si>
  <si>
    <t>Fair value adjustments</t>
  </si>
  <si>
    <t>Balance sheet</t>
  </si>
  <si>
    <t>Closing</t>
  </si>
  <si>
    <t>Check</t>
  </si>
  <si>
    <t>Cash flow</t>
  </si>
  <si>
    <t>Plus: D&amp;A</t>
  </si>
  <si>
    <t>Less: Investments in working capital</t>
  </si>
  <si>
    <t>Operating cash flow</t>
  </si>
  <si>
    <t>Capex</t>
  </si>
  <si>
    <t>Investing cash flow</t>
  </si>
  <si>
    <t>Revolver</t>
  </si>
  <si>
    <t>Debt issuance</t>
  </si>
  <si>
    <t>Debt repayment</t>
  </si>
  <si>
    <t>Equity issuance</t>
  </si>
  <si>
    <t>Equity repurchase</t>
  </si>
  <si>
    <t>Dividends</t>
  </si>
  <si>
    <t>Financing cash flow</t>
  </si>
  <si>
    <t>Net cash flow</t>
  </si>
  <si>
    <t>Working capital</t>
  </si>
  <si>
    <t>Net trade working capital</t>
  </si>
  <si>
    <t>Net cycle</t>
  </si>
  <si>
    <t>Amortization of capitalized financing costs - schedule</t>
  </si>
  <si>
    <t>Fixed assets roll forward</t>
  </si>
  <si>
    <t>PP&amp;E Opening</t>
  </si>
  <si>
    <t>Depreciation</t>
  </si>
  <si>
    <t>PP&amp;E Ending</t>
  </si>
  <si>
    <t>Goodwill Opening</t>
  </si>
  <si>
    <t>Increase Goodwill</t>
  </si>
  <si>
    <t>Impairment</t>
  </si>
  <si>
    <t>Goodwill Ending</t>
  </si>
  <si>
    <t>Amortization - transaction fees</t>
  </si>
  <si>
    <t>Amortization</t>
  </si>
  <si>
    <t>LIBOR curve</t>
  </si>
  <si>
    <t>Interest rates</t>
  </si>
  <si>
    <t>Repayment schedule</t>
  </si>
  <si>
    <t>Financing</t>
  </si>
  <si>
    <t>Senior note - beginning</t>
  </si>
  <si>
    <t>Senior note - repayment</t>
  </si>
  <si>
    <t>Senior note - remaining</t>
  </si>
  <si>
    <t>Senior note - interest expense</t>
  </si>
  <si>
    <t>Term A - beginning</t>
  </si>
  <si>
    <t>Term A - repayment</t>
  </si>
  <si>
    <t>Term A - remaining</t>
  </si>
  <si>
    <t>Term A - interest expense</t>
  </si>
  <si>
    <t>Term B - beginning</t>
  </si>
  <si>
    <t>Term B - repayment</t>
  </si>
  <si>
    <t>Term B - remaining</t>
  </si>
  <si>
    <t>Term B - interest expense</t>
  </si>
  <si>
    <t>Revolver drawdown calculation</t>
  </si>
  <si>
    <t>Financing cash flow (excl. revolver)</t>
  </si>
  <si>
    <t>Cash flow (excl. revolver)</t>
  </si>
  <si>
    <t xml:space="preserve">Opening cash </t>
  </si>
  <si>
    <t>Cash available before revolver</t>
  </si>
  <si>
    <t>Cash surplus/deficit</t>
  </si>
  <si>
    <t>Revolver drawn</t>
  </si>
  <si>
    <t>Revolver repayment</t>
  </si>
  <si>
    <t>Revolver outstanding - ending</t>
  </si>
  <si>
    <t>Revolver interest expense</t>
  </si>
  <si>
    <t>Equity schedule</t>
  </si>
  <si>
    <t>Shareholders equity opening</t>
  </si>
  <si>
    <t>Equity repurchases</t>
  </si>
  <si>
    <t>Issuance of equity</t>
  </si>
  <si>
    <t>Shareholders equity ending</t>
  </si>
  <si>
    <t>Exit valuation</t>
  </si>
  <si>
    <t>EBITDA exit</t>
  </si>
  <si>
    <t>Exit EBITDA multiple</t>
  </si>
  <si>
    <t>Terminal EV</t>
  </si>
  <si>
    <t>Financial liabilities</t>
  </si>
  <si>
    <t>Terminal equity value</t>
  </si>
  <si>
    <t>IRR</t>
  </si>
  <si>
    <t>Equity owners</t>
  </si>
  <si>
    <t>LIBOR+ (spread)</t>
  </si>
  <si>
    <t>Rep. schedule</t>
  </si>
  <si>
    <t>Bullet year</t>
  </si>
  <si>
    <t>Sensitivity Analysis</t>
  </si>
  <si>
    <t>Naira</t>
  </si>
  <si>
    <t>000000s</t>
  </si>
  <si>
    <t>Nigeria</t>
  </si>
  <si>
    <t>Depreciation % f revenue</t>
  </si>
  <si>
    <t>Equity owners  IRR</t>
  </si>
  <si>
    <t>EBITDA  entry multiple</t>
  </si>
  <si>
    <t>Revenue growth  rate</t>
  </si>
  <si>
    <t>2022H</t>
  </si>
  <si>
    <t>2023H</t>
  </si>
  <si>
    <t>2024H</t>
  </si>
  <si>
    <t>2025F</t>
  </si>
  <si>
    <t>2026F</t>
  </si>
  <si>
    <t>2027F</t>
  </si>
  <si>
    <t>2028F</t>
  </si>
  <si>
    <t>2029F</t>
  </si>
  <si>
    <t>2030F</t>
  </si>
  <si>
    <t>2031F</t>
  </si>
  <si>
    <t>2032F</t>
  </si>
  <si>
    <t>2033F</t>
  </si>
  <si>
    <t>2034F</t>
  </si>
  <si>
    <t>XYZ</t>
  </si>
  <si>
    <t>Listed</t>
  </si>
  <si>
    <t>Nigeria Stock Market</t>
  </si>
  <si>
    <t>XYZ share price</t>
  </si>
  <si>
    <t>BY</t>
  </si>
  <si>
    <t>EMMANUEL IFEANYI EZEJI</t>
  </si>
  <si>
    <t>(EQUITY AND LBO ANALYST)</t>
  </si>
  <si>
    <t>LBO VALUATION MODEL OF XYZ, A COMPANY CURRENTLY LISTED IN THE NIGERIA STOCK EXCHANGE.</t>
  </si>
  <si>
    <r>
      <t>Current</t>
    </r>
    <r>
      <rPr>
        <b/>
        <sz val="12"/>
        <color theme="1"/>
        <rFont val="Calibri"/>
        <family val="2"/>
        <scheme val="minor"/>
      </rPr>
      <t xml:space="preserve"> XYZ</t>
    </r>
    <r>
      <rPr>
        <sz val="12"/>
        <color theme="1"/>
        <rFont val="Calibri"/>
        <family val="2"/>
        <scheme val="minor"/>
      </rPr>
      <t xml:space="preserve"> share price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</si>
</sst>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0404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sz val="14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164" fontId="0" fillId="0" borderId="0" xfId="1" applyNumberFormat="1" applyFont="1"/>
    <xf numFmtId="0" fontId="2" fillId="0" borderId="0" xfId="0" applyFont="1"/>
    <xf numFmtId="164" fontId="3" fillId="0" borderId="0" xfId="1" applyNumberFormat="1" applyFont="1" applyAlignment="1">
      <alignment horizontal="left" vertical="center" wrapText="1" indent="1"/>
    </xf>
    <xf numFmtId="0" fontId="4" fillId="0" borderId="0" xfId="0" applyFont="1"/>
    <xf numFmtId="164" fontId="4" fillId="0" borderId="0" xfId="1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8" fillId="0" borderId="0" xfId="0" applyFont="1" applyAlignment="1">
      <alignment horizontal="center"/>
    </xf>
    <xf numFmtId="0" fontId="8" fillId="0" borderId="0" xfId="0" applyFont="1"/>
    <xf numFmtId="9" fontId="0" fillId="0" borderId="0" xfId="2" applyFont="1"/>
    <xf numFmtId="165" fontId="0" fillId="0" borderId="0" xfId="2" applyNumberFormat="1" applyFont="1"/>
    <xf numFmtId="9" fontId="4" fillId="0" borderId="0" xfId="2" applyFont="1"/>
    <xf numFmtId="164" fontId="4" fillId="0" borderId="0" xfId="0" applyNumberFormat="1" applyFont="1" applyAlignment="1">
      <alignment horizontal="right"/>
    </xf>
    <xf numFmtId="9" fontId="4" fillId="0" borderId="0" xfId="2" applyFont="1" applyAlignment="1">
      <alignment horizontal="right"/>
    </xf>
    <xf numFmtId="14" fontId="4" fillId="0" borderId="0" xfId="0" applyNumberFormat="1" applyFont="1" applyAlignment="1">
      <alignment horizontal="right"/>
    </xf>
    <xf numFmtId="43" fontId="4" fillId="0" borderId="0" xfId="1" applyFont="1" applyAlignment="1">
      <alignment horizontal="right"/>
    </xf>
    <xf numFmtId="164" fontId="4" fillId="0" borderId="0" xfId="0" applyNumberFormat="1" applyFont="1"/>
    <xf numFmtId="43" fontId="4" fillId="0" borderId="0" xfId="0" applyNumberFormat="1" applyFont="1"/>
    <xf numFmtId="164" fontId="2" fillId="0" borderId="0" xfId="1" applyNumberFormat="1" applyFont="1"/>
    <xf numFmtId="166" fontId="0" fillId="0" borderId="0" xfId="0" applyNumberFormat="1"/>
    <xf numFmtId="164" fontId="8" fillId="0" borderId="0" xfId="1" applyNumberFormat="1" applyFont="1"/>
    <xf numFmtId="0" fontId="9" fillId="0" borderId="0" xfId="0" applyFont="1"/>
    <xf numFmtId="164" fontId="9" fillId="0" borderId="0" xfId="1" applyNumberFormat="1" applyFont="1"/>
    <xf numFmtId="1" fontId="0" fillId="0" borderId="0" xfId="0" applyNumberFormat="1"/>
    <xf numFmtId="1" fontId="9" fillId="0" borderId="0" xfId="0" applyNumberFormat="1" applyFont="1"/>
    <xf numFmtId="164" fontId="0" fillId="0" borderId="0" xfId="0" applyNumberFormat="1"/>
    <xf numFmtId="2" fontId="0" fillId="0" borderId="0" xfId="2" applyNumberFormat="1" applyFont="1"/>
    <xf numFmtId="164" fontId="9" fillId="0" borderId="0" xfId="0" applyNumberFormat="1" applyFont="1"/>
    <xf numFmtId="164" fontId="2" fillId="0" borderId="0" xfId="0" applyNumberFormat="1" applyFont="1"/>
    <xf numFmtId="165" fontId="4" fillId="0" borderId="0" xfId="2" applyNumberFormat="1" applyFont="1"/>
    <xf numFmtId="165" fontId="0" fillId="0" borderId="0" xfId="0" applyNumberFormat="1"/>
    <xf numFmtId="43" fontId="0" fillId="0" borderId="0" xfId="1" applyFont="1"/>
    <xf numFmtId="9" fontId="0" fillId="0" borderId="0" xfId="0" applyNumberFormat="1"/>
    <xf numFmtId="1" fontId="0" fillId="0" borderId="0" xfId="2" applyNumberFormat="1" applyFont="1"/>
    <xf numFmtId="9" fontId="0" fillId="0" borderId="0" xfId="2" applyNumberFormat="1" applyFont="1"/>
    <xf numFmtId="0" fontId="2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0" fillId="0" borderId="0" xfId="0" applyFont="1"/>
    <xf numFmtId="164" fontId="0" fillId="0" borderId="0" xfId="0" applyNumberFormat="1" applyFont="1"/>
    <xf numFmtId="164" fontId="1" fillId="0" borderId="0" xfId="1" applyNumberFormat="1" applyFont="1"/>
    <xf numFmtId="0" fontId="8" fillId="0" borderId="0" xfId="0" applyFont="1" applyAlignment="1">
      <alignment horizontal="right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65" fontId="16" fillId="0" borderId="0" xfId="2" applyNumberFormat="1" applyFont="1"/>
    <xf numFmtId="9" fontId="2" fillId="0" borderId="0" xfId="2" applyFont="1"/>
    <xf numFmtId="1" fontId="2" fillId="0" borderId="0" xfId="2" applyNumberFormat="1" applyFont="1"/>
    <xf numFmtId="0" fontId="8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P13"/>
  <sheetViews>
    <sheetView showGridLines="0" topLeftCell="A4" workbookViewId="0">
      <selection activeCell="G14" sqref="G14"/>
    </sheetView>
  </sheetViews>
  <sheetFormatPr defaultRowHeight="15" x14ac:dyDescent="0.25"/>
  <sheetData>
    <row r="9" spans="1:16" ht="55.5" customHeight="1" x14ac:dyDescent="0.35">
      <c r="A9" s="44" t="s">
        <v>196</v>
      </c>
      <c r="B9" s="44"/>
      <c r="C9" s="44"/>
      <c r="D9" s="44"/>
      <c r="E9" s="44"/>
      <c r="F9" s="44"/>
      <c r="G9" s="44"/>
      <c r="H9" s="44"/>
      <c r="I9" s="44"/>
      <c r="J9" s="45"/>
      <c r="K9" s="45"/>
      <c r="L9" s="45"/>
      <c r="M9" s="45"/>
      <c r="N9" s="45"/>
      <c r="O9" s="45"/>
      <c r="P9" s="45"/>
    </row>
    <row r="10" spans="1:16" ht="26.25" x14ac:dyDescent="0.4">
      <c r="A10" s="48" t="s">
        <v>193</v>
      </c>
      <c r="B10" s="46"/>
      <c r="C10" s="46"/>
      <c r="D10" s="46"/>
      <c r="E10" s="46"/>
      <c r="F10" s="46"/>
      <c r="G10" s="46"/>
      <c r="H10" s="46"/>
      <c r="I10" s="46"/>
    </row>
    <row r="11" spans="1:16" ht="26.25" x14ac:dyDescent="0.4">
      <c r="A11" s="44" t="s">
        <v>194</v>
      </c>
      <c r="B11" s="44"/>
      <c r="C11" s="44"/>
      <c r="D11" s="44"/>
      <c r="E11" s="44"/>
      <c r="F11" s="47"/>
      <c r="G11" s="47"/>
      <c r="H11" s="47"/>
      <c r="I11" s="47"/>
    </row>
    <row r="12" spans="1:16" ht="19.5" customHeight="1" x14ac:dyDescent="0.25">
      <c r="A12" s="48" t="s">
        <v>195</v>
      </c>
      <c r="B12" s="48"/>
      <c r="C12" s="48"/>
      <c r="D12" s="50"/>
    </row>
    <row r="13" spans="1:16" ht="18.75" x14ac:dyDescent="0.3">
      <c r="A13" s="51"/>
      <c r="B13" s="51"/>
      <c r="C13" s="51"/>
      <c r="D13" s="4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opLeftCell="A73" workbookViewId="0">
      <selection activeCell="C6" sqref="C6"/>
    </sheetView>
  </sheetViews>
  <sheetFormatPr defaultRowHeight="15" x14ac:dyDescent="0.25"/>
  <cols>
    <col min="1" max="1" width="38.85546875" customWidth="1"/>
    <col min="2" max="2" width="30" customWidth="1"/>
    <col min="3" max="3" width="24.5703125" customWidth="1"/>
    <col min="4" max="4" width="14.7109375" customWidth="1"/>
    <col min="5" max="5" width="20.7109375" customWidth="1"/>
    <col min="6" max="6" width="15.28515625" customWidth="1"/>
    <col min="7" max="7" width="12.140625" customWidth="1"/>
  </cols>
  <sheetData>
    <row r="1" spans="1:7" ht="15.75" x14ac:dyDescent="0.25">
      <c r="A1" s="9" t="s">
        <v>27</v>
      </c>
      <c r="B1" s="4"/>
      <c r="C1" s="4"/>
      <c r="D1" s="4"/>
      <c r="E1" s="4"/>
      <c r="F1" s="4"/>
      <c r="G1" s="4"/>
    </row>
    <row r="2" spans="1:7" ht="15.75" x14ac:dyDescent="0.25">
      <c r="A2" s="4" t="s">
        <v>197</v>
      </c>
      <c r="B2" s="4">
        <v>2.6</v>
      </c>
      <c r="C2" s="4"/>
      <c r="D2" s="4"/>
      <c r="E2" s="4"/>
      <c r="F2" s="4"/>
      <c r="G2" s="4"/>
    </row>
    <row r="3" spans="1:7" ht="15.75" x14ac:dyDescent="0.25">
      <c r="A3" s="4" t="s">
        <v>30</v>
      </c>
      <c r="B3" s="14">
        <v>0.25</v>
      </c>
      <c r="C3" s="4"/>
      <c r="D3" s="4"/>
      <c r="E3" s="4"/>
      <c r="F3" s="4"/>
      <c r="G3" s="4"/>
    </row>
    <row r="4" spans="1:7" ht="15.75" x14ac:dyDescent="0.25">
      <c r="A4" s="4" t="s">
        <v>31</v>
      </c>
      <c r="B4" s="4">
        <f>B2*(1+B3)</f>
        <v>3.25</v>
      </c>
      <c r="C4" s="4"/>
      <c r="D4" s="4"/>
      <c r="E4" s="4"/>
      <c r="F4" s="4"/>
      <c r="G4" s="4"/>
    </row>
    <row r="5" spans="1:7" ht="15.75" x14ac:dyDescent="0.25">
      <c r="A5" s="4" t="s">
        <v>33</v>
      </c>
      <c r="B5" s="5">
        <v>7050</v>
      </c>
      <c r="C5" s="4"/>
      <c r="D5" s="4"/>
      <c r="E5" s="4"/>
      <c r="F5" s="4"/>
      <c r="G5" s="4"/>
    </row>
    <row r="6" spans="1:7" ht="15.75" x14ac:dyDescent="0.25">
      <c r="A6" s="4" t="s">
        <v>34</v>
      </c>
      <c r="B6" s="5">
        <f>(B4*B5)</f>
        <v>22912.5</v>
      </c>
      <c r="C6" s="4"/>
      <c r="D6" s="4"/>
      <c r="E6" s="4"/>
      <c r="F6" s="4"/>
      <c r="G6" s="4"/>
    </row>
    <row r="7" spans="1:7" ht="15.75" x14ac:dyDescent="0.25">
      <c r="A7" s="4" t="s">
        <v>36</v>
      </c>
      <c r="B7" s="5">
        <f>'LBO VALUATION MODEL'!D39-'LBO VALUATION MODEL'!D54</f>
        <v>-1356.44</v>
      </c>
      <c r="C7" s="4"/>
      <c r="D7" s="4"/>
      <c r="E7" s="4"/>
      <c r="F7" s="4"/>
      <c r="G7" s="4"/>
    </row>
    <row r="8" spans="1:7" ht="15.75" x14ac:dyDescent="0.25">
      <c r="A8" s="4" t="s">
        <v>38</v>
      </c>
      <c r="B8" s="5">
        <f>B6+B7</f>
        <v>21556.06</v>
      </c>
      <c r="C8" s="4"/>
      <c r="D8" s="4"/>
      <c r="E8" s="4"/>
      <c r="F8" s="4"/>
      <c r="G8" s="4"/>
    </row>
    <row r="9" spans="1:7" ht="15.75" x14ac:dyDescent="0.25">
      <c r="A9" s="4" t="s">
        <v>19</v>
      </c>
      <c r="B9" s="5">
        <f>'LBO VALUATION MODEL'!D27</f>
        <v>1892.5599999999993</v>
      </c>
      <c r="C9" s="4"/>
      <c r="D9" s="4"/>
      <c r="E9" s="4"/>
      <c r="F9" s="4"/>
      <c r="G9" s="4"/>
    </row>
    <row r="10" spans="1:7" ht="15.75" x14ac:dyDescent="0.25">
      <c r="A10" s="4" t="s">
        <v>41</v>
      </c>
      <c r="B10" s="5">
        <f>B8/B9</f>
        <v>11.38989516844909</v>
      </c>
      <c r="C10" s="4"/>
      <c r="D10" s="4"/>
      <c r="E10" s="4"/>
      <c r="F10" s="4"/>
      <c r="G10" s="4"/>
    </row>
    <row r="11" spans="1:7" ht="15.75" x14ac:dyDescent="0.25">
      <c r="A11" s="4"/>
      <c r="B11" s="4"/>
      <c r="C11" s="4"/>
      <c r="D11" s="4"/>
      <c r="E11" s="4"/>
      <c r="F11" s="4"/>
      <c r="G11" s="4"/>
    </row>
    <row r="12" spans="1:7" ht="15.75" x14ac:dyDescent="0.25">
      <c r="A12" s="9" t="s">
        <v>28</v>
      </c>
      <c r="B12" s="4"/>
      <c r="C12" s="4"/>
      <c r="D12" s="4"/>
      <c r="E12" s="4"/>
      <c r="F12" s="4"/>
      <c r="G12" s="4"/>
    </row>
    <row r="13" spans="1:7" ht="15.75" x14ac:dyDescent="0.25">
      <c r="A13" s="4" t="s">
        <v>29</v>
      </c>
      <c r="B13" s="43" t="s">
        <v>189</v>
      </c>
      <c r="C13" s="4"/>
      <c r="D13" s="4"/>
      <c r="E13" s="4"/>
      <c r="F13" s="4"/>
      <c r="G13" s="4"/>
    </row>
    <row r="14" spans="1:7" ht="15.75" x14ac:dyDescent="0.25">
      <c r="A14" s="4" t="s">
        <v>190</v>
      </c>
      <c r="B14" s="6" t="s">
        <v>191</v>
      </c>
      <c r="C14" s="4"/>
      <c r="D14" s="4"/>
      <c r="E14" s="4"/>
      <c r="F14" s="4"/>
      <c r="G14" s="4"/>
    </row>
    <row r="15" spans="1:7" ht="15.75" x14ac:dyDescent="0.25">
      <c r="A15" s="4" t="s">
        <v>192</v>
      </c>
      <c r="B15" s="6">
        <f>B2</f>
        <v>2.6</v>
      </c>
      <c r="C15" s="4"/>
      <c r="D15" s="4"/>
      <c r="E15" s="4"/>
      <c r="F15" s="4"/>
      <c r="G15" s="4"/>
    </row>
    <row r="16" spans="1:7" ht="15.75" x14ac:dyDescent="0.25">
      <c r="A16" s="4" t="s">
        <v>32</v>
      </c>
      <c r="B16" s="15">
        <f>B5</f>
        <v>7050</v>
      </c>
      <c r="C16" s="4"/>
      <c r="D16" s="4"/>
      <c r="E16" s="4"/>
      <c r="F16" s="4"/>
      <c r="G16" s="4"/>
    </row>
    <row r="17" spans="1:7" ht="15.75" x14ac:dyDescent="0.25">
      <c r="A17" s="4" t="s">
        <v>30</v>
      </c>
      <c r="B17" s="16">
        <v>0.25</v>
      </c>
      <c r="C17" s="4"/>
      <c r="D17" s="4"/>
      <c r="E17" s="4"/>
      <c r="F17" s="4"/>
      <c r="G17" s="4"/>
    </row>
    <row r="18" spans="1:7" ht="15.75" x14ac:dyDescent="0.25">
      <c r="A18" s="4" t="s">
        <v>35</v>
      </c>
      <c r="B18" s="17">
        <v>46022</v>
      </c>
      <c r="C18" s="4"/>
      <c r="D18" s="4"/>
      <c r="E18" s="4"/>
      <c r="F18" s="4"/>
      <c r="G18" s="4"/>
    </row>
    <row r="19" spans="1:7" ht="15.75" x14ac:dyDescent="0.25">
      <c r="A19" s="4" t="s">
        <v>37</v>
      </c>
      <c r="B19" s="17">
        <v>45657</v>
      </c>
      <c r="C19" s="4"/>
      <c r="D19" s="4"/>
      <c r="E19" s="4"/>
      <c r="F19" s="4"/>
      <c r="G19" s="4"/>
    </row>
    <row r="20" spans="1:7" ht="15.75" x14ac:dyDescent="0.25">
      <c r="A20" s="4" t="s">
        <v>39</v>
      </c>
      <c r="B20" s="6" t="s">
        <v>179</v>
      </c>
      <c r="C20" s="4"/>
      <c r="D20" s="4"/>
      <c r="E20" s="4"/>
      <c r="F20" s="4"/>
      <c r="G20" s="4"/>
    </row>
    <row r="21" spans="1:7" ht="15.75" x14ac:dyDescent="0.25">
      <c r="A21" s="4" t="s">
        <v>40</v>
      </c>
      <c r="B21" s="6">
        <v>365</v>
      </c>
      <c r="C21" s="4"/>
      <c r="D21" s="4"/>
      <c r="E21" s="4"/>
      <c r="F21" s="4"/>
      <c r="G21" s="4"/>
    </row>
    <row r="22" spans="1:7" ht="15.75" x14ac:dyDescent="0.25">
      <c r="A22" s="4" t="s">
        <v>42</v>
      </c>
      <c r="B22" s="6" t="s">
        <v>169</v>
      </c>
      <c r="C22" s="4"/>
      <c r="D22" s="4"/>
      <c r="E22" s="4"/>
      <c r="F22" s="4"/>
      <c r="G22" s="4"/>
    </row>
    <row r="23" spans="1:7" ht="15.75" x14ac:dyDescent="0.25">
      <c r="A23" s="4" t="s">
        <v>43</v>
      </c>
      <c r="B23" s="18" t="s">
        <v>170</v>
      </c>
      <c r="C23" s="4"/>
      <c r="D23" s="4"/>
      <c r="E23" s="4"/>
      <c r="F23" s="4"/>
      <c r="G23" s="4"/>
    </row>
    <row r="24" spans="1:7" ht="15.75" x14ac:dyDescent="0.25">
      <c r="A24" s="4" t="s">
        <v>44</v>
      </c>
      <c r="B24" s="6" t="s">
        <v>171</v>
      </c>
      <c r="C24" s="4"/>
      <c r="D24" s="4"/>
      <c r="E24" s="4"/>
      <c r="F24" s="4"/>
      <c r="G24" s="4"/>
    </row>
    <row r="25" spans="1:7" ht="15.75" x14ac:dyDescent="0.25">
      <c r="A25" s="4" t="s">
        <v>46</v>
      </c>
      <c r="B25" s="6">
        <v>0.34</v>
      </c>
      <c r="C25" s="4"/>
      <c r="D25" s="4"/>
      <c r="E25" s="4"/>
      <c r="F25" s="4"/>
      <c r="G25" s="4"/>
    </row>
    <row r="26" spans="1:7" ht="15.75" x14ac:dyDescent="0.25">
      <c r="A26" s="4" t="s">
        <v>48</v>
      </c>
      <c r="B26" s="6">
        <v>250</v>
      </c>
      <c r="C26" s="4"/>
      <c r="D26" s="4"/>
      <c r="E26" s="4"/>
      <c r="F26" s="4"/>
      <c r="G26" s="4"/>
    </row>
    <row r="27" spans="1:7" ht="15.75" x14ac:dyDescent="0.25">
      <c r="A27" s="4"/>
      <c r="B27" s="4"/>
      <c r="C27" s="4"/>
      <c r="D27" s="4"/>
      <c r="E27" s="4"/>
      <c r="F27" s="4"/>
      <c r="G27" s="4"/>
    </row>
    <row r="28" spans="1:7" ht="15.75" x14ac:dyDescent="0.25">
      <c r="A28" s="9" t="s">
        <v>45</v>
      </c>
      <c r="B28" s="4"/>
      <c r="C28" s="4"/>
      <c r="D28" s="4"/>
      <c r="E28" s="4"/>
      <c r="F28" s="4"/>
      <c r="G28" s="4"/>
    </row>
    <row r="29" spans="1:7" ht="15.75" x14ac:dyDescent="0.25">
      <c r="A29" s="4" t="s">
        <v>47</v>
      </c>
      <c r="B29" s="5">
        <v>0</v>
      </c>
      <c r="C29" s="4"/>
      <c r="D29" s="4"/>
      <c r="E29" s="4"/>
      <c r="F29" s="4"/>
      <c r="G29" s="4"/>
    </row>
    <row r="30" spans="1:7" ht="15.75" x14ac:dyDescent="0.25">
      <c r="A30" s="4" t="s">
        <v>49</v>
      </c>
      <c r="B30" s="5">
        <v>0</v>
      </c>
      <c r="C30" s="4"/>
      <c r="D30" s="4"/>
      <c r="E30" s="4"/>
      <c r="F30" s="4"/>
      <c r="G30" s="4"/>
    </row>
    <row r="31" spans="1:7" ht="15.75" x14ac:dyDescent="0.25">
      <c r="A31" s="4" t="s">
        <v>50</v>
      </c>
      <c r="B31" s="5">
        <v>0</v>
      </c>
      <c r="C31" s="4"/>
      <c r="D31" s="4"/>
      <c r="E31" s="4"/>
      <c r="F31" s="4"/>
      <c r="G31" s="4"/>
    </row>
    <row r="32" spans="1:7" ht="15.75" x14ac:dyDescent="0.25">
      <c r="A32" s="4"/>
      <c r="B32" s="4"/>
      <c r="C32" s="4"/>
      <c r="D32" s="4"/>
      <c r="E32" s="4"/>
      <c r="F32" s="4"/>
      <c r="G32" s="4"/>
    </row>
    <row r="33" spans="1:7" ht="15.75" x14ac:dyDescent="0.25">
      <c r="A33" s="9" t="s">
        <v>51</v>
      </c>
      <c r="B33" s="4"/>
      <c r="C33" s="4"/>
      <c r="D33" s="4"/>
      <c r="E33" s="4"/>
      <c r="F33" s="4"/>
      <c r="G33" s="4"/>
    </row>
    <row r="34" spans="1:7" ht="15.75" x14ac:dyDescent="0.25">
      <c r="A34" s="4" t="s">
        <v>52</v>
      </c>
      <c r="B34" s="4">
        <v>0</v>
      </c>
      <c r="C34" s="4"/>
      <c r="D34" s="4"/>
      <c r="E34" s="4"/>
      <c r="F34" s="4"/>
      <c r="G34" s="4"/>
    </row>
    <row r="35" spans="1:7" ht="15.75" x14ac:dyDescent="0.25">
      <c r="A35" s="11" t="s">
        <v>53</v>
      </c>
      <c r="B35" s="19">
        <f>SUM(D38:D46)</f>
        <v>-936.16250000000002</v>
      </c>
      <c r="C35" s="4"/>
      <c r="D35" s="4"/>
      <c r="E35" s="4"/>
      <c r="F35" s="4"/>
      <c r="G35" s="4"/>
    </row>
    <row r="36" spans="1:7" ht="15.75" x14ac:dyDescent="0.25">
      <c r="A36" s="11"/>
      <c r="B36" s="5"/>
      <c r="C36" s="4"/>
      <c r="D36" s="4"/>
      <c r="E36" s="4"/>
      <c r="F36" s="4"/>
      <c r="G36" s="4"/>
    </row>
    <row r="37" spans="1:7" ht="15.75" x14ac:dyDescent="0.25">
      <c r="A37" s="7" t="s">
        <v>54</v>
      </c>
      <c r="B37" s="4"/>
      <c r="C37" s="4"/>
      <c r="D37" s="11" t="s">
        <v>55</v>
      </c>
      <c r="E37" s="11" t="s">
        <v>56</v>
      </c>
      <c r="F37" s="11" t="s">
        <v>57</v>
      </c>
      <c r="G37" s="11" t="s">
        <v>58</v>
      </c>
    </row>
    <row r="38" spans="1:7" ht="15.75" x14ac:dyDescent="0.25">
      <c r="A38" s="4" t="s">
        <v>59</v>
      </c>
      <c r="B38" s="4">
        <v>8.0000000000000002E-3</v>
      </c>
      <c r="C38" s="4" t="s">
        <v>60</v>
      </c>
      <c r="D38" s="5">
        <f>-B38*G38</f>
        <v>-183.3</v>
      </c>
      <c r="E38" s="4" t="s">
        <v>65</v>
      </c>
      <c r="F38" s="4">
        <v>0</v>
      </c>
      <c r="G38" s="19">
        <f>B6</f>
        <v>22912.5</v>
      </c>
    </row>
    <row r="39" spans="1:7" ht="15.75" x14ac:dyDescent="0.25">
      <c r="A39" s="4" t="s">
        <v>61</v>
      </c>
      <c r="B39" s="4">
        <v>8.0000000000000002E-3</v>
      </c>
      <c r="C39" s="4" t="s">
        <v>60</v>
      </c>
      <c r="D39" s="5">
        <f>-B39*G39</f>
        <v>-183.3</v>
      </c>
      <c r="E39" s="4" t="s">
        <v>65</v>
      </c>
      <c r="F39" s="4">
        <v>0</v>
      </c>
      <c r="G39" s="19">
        <f>B6</f>
        <v>22912.5</v>
      </c>
    </row>
    <row r="40" spans="1:7" ht="15.75" x14ac:dyDescent="0.25">
      <c r="A40" s="4"/>
      <c r="B40" s="4"/>
      <c r="C40" s="4"/>
      <c r="D40" s="5"/>
      <c r="E40" s="4"/>
      <c r="F40" s="4"/>
      <c r="G40" s="4"/>
    </row>
    <row r="41" spans="1:7" ht="15.75" x14ac:dyDescent="0.25">
      <c r="A41" s="8" t="s">
        <v>62</v>
      </c>
      <c r="B41" s="4"/>
      <c r="C41" s="4"/>
      <c r="D41" s="5"/>
      <c r="E41" s="4"/>
      <c r="F41" s="4"/>
      <c r="G41" s="4"/>
    </row>
    <row r="42" spans="1:7" ht="15.75" x14ac:dyDescent="0.25">
      <c r="A42" s="4" t="s">
        <v>63</v>
      </c>
      <c r="B42" s="4">
        <v>2.5000000000000001E-2</v>
      </c>
      <c r="C42" s="4" t="s">
        <v>64</v>
      </c>
      <c r="D42" s="5">
        <f>-B42*G42</f>
        <v>-200</v>
      </c>
      <c r="E42" s="4" t="s">
        <v>65</v>
      </c>
      <c r="F42" s="4">
        <v>7</v>
      </c>
      <c r="G42" s="19">
        <f>B51</f>
        <v>8000</v>
      </c>
    </row>
    <row r="43" spans="1:7" ht="15.75" x14ac:dyDescent="0.25">
      <c r="A43" s="4" t="s">
        <v>66</v>
      </c>
      <c r="B43" s="4">
        <v>2.2499999999999999E-2</v>
      </c>
      <c r="C43" s="4" t="s">
        <v>64</v>
      </c>
      <c r="D43" s="5">
        <f t="shared" ref="D43:D44" si="0">-B43*G43</f>
        <v>-135</v>
      </c>
      <c r="E43" s="4" t="s">
        <v>65</v>
      </c>
      <c r="F43" s="4">
        <v>8</v>
      </c>
      <c r="G43" s="19">
        <f t="shared" ref="G43:G44" si="1">B52</f>
        <v>6000</v>
      </c>
    </row>
    <row r="44" spans="1:7" ht="15.75" x14ac:dyDescent="0.25">
      <c r="A44" s="4" t="s">
        <v>67</v>
      </c>
      <c r="B44" s="4">
        <v>0.02</v>
      </c>
      <c r="C44" s="4" t="s">
        <v>64</v>
      </c>
      <c r="D44" s="5">
        <f t="shared" si="0"/>
        <v>-120</v>
      </c>
      <c r="E44" s="4" t="s">
        <v>65</v>
      </c>
      <c r="F44" s="4">
        <v>9</v>
      </c>
      <c r="G44" s="19">
        <f t="shared" si="1"/>
        <v>6000</v>
      </c>
    </row>
    <row r="45" spans="1:7" ht="15.75" x14ac:dyDescent="0.25">
      <c r="A45" s="4"/>
      <c r="B45" s="4"/>
      <c r="C45" s="4"/>
      <c r="D45" s="5">
        <v>0</v>
      </c>
      <c r="E45" s="4"/>
      <c r="F45" s="4"/>
      <c r="G45" s="4"/>
    </row>
    <row r="46" spans="1:7" ht="15.75" x14ac:dyDescent="0.25">
      <c r="A46" s="7" t="s">
        <v>68</v>
      </c>
      <c r="B46" s="4">
        <v>5.0000000000000001E-3</v>
      </c>
      <c r="C46" s="4" t="s">
        <v>60</v>
      </c>
      <c r="D46" s="5">
        <f>-B46*G46</f>
        <v>-114.5625</v>
      </c>
      <c r="E46" s="4" t="s">
        <v>65</v>
      </c>
      <c r="F46" s="4">
        <v>0</v>
      </c>
      <c r="G46" s="19">
        <f>B6</f>
        <v>22912.5</v>
      </c>
    </row>
    <row r="47" spans="1:7" ht="15.75" x14ac:dyDescent="0.25">
      <c r="A47" s="4"/>
      <c r="B47" s="4"/>
      <c r="C47" s="4"/>
      <c r="D47" s="4"/>
      <c r="E47" s="4"/>
      <c r="F47" s="4"/>
      <c r="G47" s="4"/>
    </row>
    <row r="48" spans="1:7" ht="15.75" x14ac:dyDescent="0.25">
      <c r="A48" s="9" t="s">
        <v>69</v>
      </c>
      <c r="B48" s="4"/>
      <c r="C48" s="4"/>
      <c r="D48" s="4"/>
      <c r="E48" s="4"/>
      <c r="F48" s="4"/>
      <c r="G48" s="4"/>
    </row>
    <row r="49" spans="1:7" ht="15.75" x14ac:dyDescent="0.25">
      <c r="A49" s="11" t="s">
        <v>70</v>
      </c>
      <c r="B49" s="4"/>
      <c r="C49" s="7" t="s">
        <v>71</v>
      </c>
      <c r="D49" s="4"/>
      <c r="E49" s="4"/>
      <c r="F49" s="4"/>
      <c r="G49" s="4"/>
    </row>
    <row r="50" spans="1:7" ht="15.75" x14ac:dyDescent="0.25">
      <c r="A50" s="4" t="s">
        <v>72</v>
      </c>
      <c r="B50" s="5">
        <v>0</v>
      </c>
      <c r="C50" s="4" t="s">
        <v>73</v>
      </c>
      <c r="D50" s="5">
        <f>B6</f>
        <v>22912.5</v>
      </c>
      <c r="E50" s="4"/>
      <c r="F50" s="4"/>
      <c r="G50" s="4"/>
    </row>
    <row r="51" spans="1:7" ht="15.75" x14ac:dyDescent="0.25">
      <c r="A51" s="4" t="s">
        <v>63</v>
      </c>
      <c r="B51" s="5">
        <v>8000</v>
      </c>
      <c r="C51" s="4" t="s">
        <v>74</v>
      </c>
      <c r="D51" s="5">
        <f>B74</f>
        <v>1607.16</v>
      </c>
      <c r="E51" s="4"/>
      <c r="F51" s="4"/>
      <c r="G51" s="4"/>
    </row>
    <row r="52" spans="1:7" ht="15.75" x14ac:dyDescent="0.25">
      <c r="A52" s="4" t="s">
        <v>66</v>
      </c>
      <c r="B52" s="5">
        <v>6000</v>
      </c>
      <c r="C52" s="4" t="s">
        <v>75</v>
      </c>
      <c r="D52" s="5">
        <f>-B35</f>
        <v>936.16250000000002</v>
      </c>
      <c r="E52" s="4"/>
      <c r="F52" s="4"/>
      <c r="G52" s="4"/>
    </row>
    <row r="53" spans="1:7" ht="15.75" x14ac:dyDescent="0.25">
      <c r="A53" s="4" t="s">
        <v>67</v>
      </c>
      <c r="B53" s="5">
        <v>6000</v>
      </c>
      <c r="C53" s="4"/>
      <c r="D53" s="5"/>
      <c r="E53" s="4"/>
      <c r="F53" s="4"/>
      <c r="G53" s="4"/>
    </row>
    <row r="54" spans="1:7" ht="15.75" x14ac:dyDescent="0.25">
      <c r="A54" s="4" t="s">
        <v>76</v>
      </c>
      <c r="B54" s="5">
        <f>D55-SUM(B51:B53)</f>
        <v>5455.8224999999984</v>
      </c>
      <c r="C54" s="4"/>
      <c r="D54" s="4"/>
      <c r="E54" s="4"/>
      <c r="F54" s="4"/>
      <c r="G54" s="4"/>
    </row>
    <row r="55" spans="1:7" ht="15.75" x14ac:dyDescent="0.25">
      <c r="A55" s="11" t="s">
        <v>77</v>
      </c>
      <c r="B55" s="5">
        <f>SUM(B51:B54)</f>
        <v>25455.822499999998</v>
      </c>
      <c r="C55" s="11" t="s">
        <v>77</v>
      </c>
      <c r="D55" s="5">
        <f>D50+D51+D52</f>
        <v>25455.822499999998</v>
      </c>
      <c r="E55" s="4"/>
      <c r="F55" s="4"/>
      <c r="G55" s="4"/>
    </row>
    <row r="56" spans="1:7" ht="15.75" x14ac:dyDescent="0.25">
      <c r="A56" s="4"/>
      <c r="B56" s="4"/>
      <c r="C56" s="4"/>
      <c r="D56" s="4"/>
      <c r="E56" s="4"/>
      <c r="F56" s="4"/>
      <c r="G56" s="4"/>
    </row>
    <row r="57" spans="1:7" ht="15.75" x14ac:dyDescent="0.25">
      <c r="A57" s="9" t="s">
        <v>78</v>
      </c>
      <c r="B57" s="4"/>
      <c r="C57" s="4"/>
      <c r="D57" s="4"/>
      <c r="E57" s="4"/>
      <c r="F57" s="4"/>
      <c r="G57" s="20"/>
    </row>
    <row r="58" spans="1:7" ht="15.75" x14ac:dyDescent="0.25">
      <c r="A58" s="4" t="s">
        <v>14</v>
      </c>
      <c r="B58" s="10" t="s">
        <v>79</v>
      </c>
      <c r="C58" s="10" t="s">
        <v>80</v>
      </c>
      <c r="D58" s="10" t="s">
        <v>81</v>
      </c>
      <c r="E58" s="10" t="s">
        <v>82</v>
      </c>
      <c r="F58" s="4"/>
      <c r="G58" s="4"/>
    </row>
    <row r="59" spans="1:7" ht="15.75" x14ac:dyDescent="0.25">
      <c r="A59" s="4" t="s">
        <v>83</v>
      </c>
      <c r="B59" s="1">
        <v>250.72</v>
      </c>
      <c r="C59" s="5"/>
      <c r="D59" s="5">
        <f>B59</f>
        <v>250.72</v>
      </c>
      <c r="E59" s="5">
        <f>D59</f>
        <v>250.72</v>
      </c>
      <c r="F59" s="4"/>
      <c r="G59" s="4"/>
    </row>
    <row r="60" spans="1:7" ht="15.75" x14ac:dyDescent="0.25">
      <c r="A60" s="4" t="s">
        <v>47</v>
      </c>
      <c r="B60" s="1">
        <v>2110.5100000000002</v>
      </c>
      <c r="C60" s="5">
        <v>0</v>
      </c>
      <c r="D60" s="5">
        <f t="shared" ref="D60:D79" si="2">B60</f>
        <v>2110.5100000000002</v>
      </c>
      <c r="E60" s="5">
        <f t="shared" ref="E60:E62" si="3">D60</f>
        <v>2110.5100000000002</v>
      </c>
      <c r="F60" s="4"/>
      <c r="G60" s="4"/>
    </row>
    <row r="61" spans="1:7" ht="15.75" x14ac:dyDescent="0.25">
      <c r="A61" s="4" t="s">
        <v>49</v>
      </c>
      <c r="B61" s="1">
        <v>3541.14</v>
      </c>
      <c r="C61" s="5">
        <v>0</v>
      </c>
      <c r="D61" s="5">
        <f t="shared" si="2"/>
        <v>3541.14</v>
      </c>
      <c r="E61" s="5">
        <f t="shared" si="3"/>
        <v>3541.14</v>
      </c>
      <c r="F61" s="4"/>
      <c r="G61" s="4"/>
    </row>
    <row r="62" spans="1:7" ht="15.75" x14ac:dyDescent="0.25">
      <c r="A62" s="4" t="s">
        <v>8</v>
      </c>
      <c r="B62" s="1">
        <v>44.84</v>
      </c>
      <c r="C62" s="5"/>
      <c r="D62" s="5">
        <f t="shared" si="2"/>
        <v>44.84</v>
      </c>
      <c r="E62" s="5">
        <f t="shared" si="3"/>
        <v>44.84</v>
      </c>
      <c r="F62" s="4"/>
      <c r="G62" s="4"/>
    </row>
    <row r="63" spans="1:7" ht="15.75" x14ac:dyDescent="0.25">
      <c r="A63" s="4"/>
      <c r="B63" s="1"/>
      <c r="C63" s="5"/>
      <c r="D63" s="5">
        <f t="shared" si="2"/>
        <v>0</v>
      </c>
      <c r="E63" s="5">
        <v>0</v>
      </c>
      <c r="F63" s="4"/>
      <c r="G63" s="4"/>
    </row>
    <row r="64" spans="1:7" ht="15.75" x14ac:dyDescent="0.25">
      <c r="A64" s="4" t="s">
        <v>84</v>
      </c>
      <c r="B64" s="1"/>
      <c r="C64" s="5"/>
      <c r="D64" s="5">
        <f t="shared" si="2"/>
        <v>0</v>
      </c>
      <c r="E64" s="5">
        <f>-'LBO VALUATION DRIVERS'!B35</f>
        <v>936.16250000000002</v>
      </c>
      <c r="F64" s="4"/>
      <c r="G64" s="4"/>
    </row>
    <row r="65" spans="1:7" ht="15.75" x14ac:dyDescent="0.25">
      <c r="A65" s="4" t="s">
        <v>50</v>
      </c>
      <c r="B65" s="1">
        <v>1337.99</v>
      </c>
      <c r="C65" s="5">
        <v>0</v>
      </c>
      <c r="D65" s="5">
        <f t="shared" si="2"/>
        <v>1337.99</v>
      </c>
      <c r="E65" s="5">
        <f>D65</f>
        <v>1337.99</v>
      </c>
      <c r="F65" s="4"/>
      <c r="G65" s="4"/>
    </row>
    <row r="66" spans="1:7" ht="15.75" x14ac:dyDescent="0.25">
      <c r="A66" s="4" t="s">
        <v>85</v>
      </c>
      <c r="B66" s="1">
        <v>0</v>
      </c>
      <c r="C66" s="5"/>
      <c r="D66" s="5">
        <f t="shared" si="2"/>
        <v>0</v>
      </c>
      <c r="E66" s="5">
        <f>B86</f>
        <v>19107.489999999998</v>
      </c>
      <c r="F66" s="4"/>
      <c r="G66" s="4"/>
    </row>
    <row r="67" spans="1:7" ht="15.75" x14ac:dyDescent="0.25">
      <c r="A67" s="4" t="s">
        <v>9</v>
      </c>
      <c r="B67" s="1">
        <v>3.6</v>
      </c>
      <c r="C67" s="5"/>
      <c r="D67" s="5">
        <f t="shared" si="2"/>
        <v>3.6</v>
      </c>
      <c r="E67" s="5">
        <f t="shared" ref="E67" si="4">D67</f>
        <v>3.6</v>
      </c>
      <c r="F67" s="4"/>
      <c r="G67" s="4"/>
    </row>
    <row r="68" spans="1:7" ht="15.75" x14ac:dyDescent="0.25">
      <c r="A68" s="4"/>
      <c r="B68" s="1"/>
      <c r="C68" s="5"/>
      <c r="D68" s="5">
        <f t="shared" si="2"/>
        <v>0</v>
      </c>
      <c r="E68" s="5">
        <v>0</v>
      </c>
      <c r="F68" s="4"/>
      <c r="G68" s="4"/>
    </row>
    <row r="69" spans="1:7" s="2" customFormat="1" ht="15.75" x14ac:dyDescent="0.25">
      <c r="A69" s="11" t="s">
        <v>86</v>
      </c>
      <c r="B69" s="21">
        <f>SUM(B59:B68)</f>
        <v>7288.8</v>
      </c>
      <c r="C69" s="23">
        <f>C60+C61+C65</f>
        <v>0</v>
      </c>
      <c r="D69" s="23">
        <f>SUM(D59:D68)</f>
        <v>7288.8</v>
      </c>
      <c r="E69" s="23">
        <f>SUM(E59:E68)</f>
        <v>27332.452499999999</v>
      </c>
      <c r="F69" s="11"/>
      <c r="G69" s="11"/>
    </row>
    <row r="70" spans="1:7" ht="15.75" x14ac:dyDescent="0.25">
      <c r="A70" s="4"/>
      <c r="B70" s="1"/>
      <c r="C70" s="5"/>
      <c r="D70" s="5"/>
      <c r="E70" s="5">
        <v>0</v>
      </c>
      <c r="F70" s="4"/>
      <c r="G70" s="4"/>
    </row>
    <row r="71" spans="1:7" ht="15.75" x14ac:dyDescent="0.25">
      <c r="A71" s="4" t="s">
        <v>87</v>
      </c>
      <c r="B71" s="1">
        <v>1106.54</v>
      </c>
      <c r="C71" s="5"/>
      <c r="D71" s="5">
        <f t="shared" si="2"/>
        <v>1106.54</v>
      </c>
      <c r="E71" s="5">
        <f>D71</f>
        <v>1106.54</v>
      </c>
      <c r="F71" s="4"/>
      <c r="G71" s="4"/>
    </row>
    <row r="72" spans="1:7" ht="15.75" x14ac:dyDescent="0.25">
      <c r="A72" s="4" t="s">
        <v>10</v>
      </c>
      <c r="B72" s="1">
        <v>493.35</v>
      </c>
      <c r="C72" s="5"/>
      <c r="D72" s="5">
        <f t="shared" si="2"/>
        <v>493.35</v>
      </c>
      <c r="E72" s="5">
        <f>D72</f>
        <v>493.35</v>
      </c>
      <c r="F72" s="4"/>
      <c r="G72" s="4"/>
    </row>
    <row r="73" spans="1:7" ht="15.75" x14ac:dyDescent="0.25">
      <c r="A73" s="4"/>
      <c r="B73" s="1"/>
      <c r="C73" s="5"/>
      <c r="D73" s="5">
        <f t="shared" si="2"/>
        <v>0</v>
      </c>
      <c r="E73" s="5">
        <v>0</v>
      </c>
      <c r="F73" s="4"/>
      <c r="G73" s="4"/>
    </row>
    <row r="74" spans="1:7" ht="15.75" x14ac:dyDescent="0.25">
      <c r="A74" s="4" t="s">
        <v>88</v>
      </c>
      <c r="B74" s="1">
        <v>1607.16</v>
      </c>
      <c r="C74" s="5"/>
      <c r="D74" s="5">
        <f t="shared" si="2"/>
        <v>1607.16</v>
      </c>
      <c r="E74" s="5">
        <f>B51+B52+B53</f>
        <v>20000</v>
      </c>
      <c r="F74" s="4"/>
      <c r="G74" s="4"/>
    </row>
    <row r="75" spans="1:7" ht="15.75" x14ac:dyDescent="0.25">
      <c r="A75" s="4" t="s">
        <v>11</v>
      </c>
      <c r="B75" s="1">
        <v>276.74</v>
      </c>
      <c r="C75" s="5"/>
      <c r="D75" s="5">
        <f t="shared" si="2"/>
        <v>276.74</v>
      </c>
      <c r="E75" s="5">
        <f>D75</f>
        <v>276.74</v>
      </c>
      <c r="F75" s="4"/>
      <c r="G75" s="4"/>
    </row>
    <row r="76" spans="1:7" ht="15.75" x14ac:dyDescent="0.25">
      <c r="A76" s="4"/>
      <c r="B76" s="1"/>
      <c r="C76" s="5"/>
      <c r="D76" s="5">
        <f t="shared" si="2"/>
        <v>0</v>
      </c>
      <c r="E76" s="5">
        <v>0</v>
      </c>
      <c r="F76" s="4"/>
      <c r="G76" s="4"/>
    </row>
    <row r="77" spans="1:7" ht="15.75" x14ac:dyDescent="0.25">
      <c r="A77" s="4" t="s">
        <v>89</v>
      </c>
      <c r="B77" s="1">
        <v>3805.01</v>
      </c>
      <c r="C77" s="5"/>
      <c r="D77" s="5">
        <f t="shared" si="2"/>
        <v>3805.01</v>
      </c>
      <c r="E77" s="5">
        <f>B54</f>
        <v>5455.8224999999984</v>
      </c>
      <c r="F77" s="4"/>
      <c r="G77" s="4"/>
    </row>
    <row r="78" spans="1:7" ht="15.75" x14ac:dyDescent="0.25">
      <c r="A78" s="4"/>
      <c r="B78" s="1"/>
      <c r="C78" s="5"/>
      <c r="D78" s="5">
        <f t="shared" si="2"/>
        <v>0</v>
      </c>
      <c r="E78" s="5">
        <v>0</v>
      </c>
      <c r="F78" s="4"/>
      <c r="G78" s="4"/>
    </row>
    <row r="79" spans="1:7" s="2" customFormat="1" ht="15.75" x14ac:dyDescent="0.25">
      <c r="A79" s="11" t="s">
        <v>90</v>
      </c>
      <c r="B79" s="21">
        <f>SUM(B71:B78)</f>
        <v>7288.8</v>
      </c>
      <c r="C79" s="23">
        <v>0</v>
      </c>
      <c r="D79" s="23">
        <f t="shared" si="2"/>
        <v>7288.8</v>
      </c>
      <c r="E79" s="23">
        <f>SUM(E71:E78)</f>
        <v>27332.452499999999</v>
      </c>
      <c r="F79" s="11"/>
      <c r="G79" s="11"/>
    </row>
    <row r="80" spans="1:7" ht="15.75" x14ac:dyDescent="0.25">
      <c r="A80" s="4"/>
      <c r="B80" s="4"/>
      <c r="C80" s="4"/>
      <c r="D80" s="4"/>
      <c r="E80" s="4"/>
      <c r="F80" s="4"/>
      <c r="G80" s="4"/>
    </row>
    <row r="81" spans="1:7" ht="15.75" x14ac:dyDescent="0.25">
      <c r="A81" s="9" t="s">
        <v>85</v>
      </c>
      <c r="B81" s="4"/>
      <c r="C81" s="4"/>
      <c r="D81" s="4"/>
      <c r="E81" s="4"/>
      <c r="F81" s="19">
        <f>E69-E79</f>
        <v>0</v>
      </c>
      <c r="G81" s="4"/>
    </row>
    <row r="82" spans="1:7" ht="15.75" x14ac:dyDescent="0.25">
      <c r="A82" s="4" t="s">
        <v>91</v>
      </c>
      <c r="B82" s="5">
        <f>B6</f>
        <v>22912.5</v>
      </c>
      <c r="C82" s="4"/>
      <c r="D82" s="4"/>
      <c r="E82" s="4"/>
      <c r="F82" s="4"/>
      <c r="G82" s="4"/>
    </row>
    <row r="83" spans="1:7" ht="15.75" x14ac:dyDescent="0.25">
      <c r="A83" s="4" t="s">
        <v>92</v>
      </c>
      <c r="B83" s="5">
        <f>-(B69-SUM(B71:B75))</f>
        <v>-3805.01</v>
      </c>
      <c r="C83" s="4"/>
      <c r="D83" s="4"/>
      <c r="E83" s="4"/>
      <c r="F83" s="4"/>
      <c r="G83" s="4"/>
    </row>
    <row r="84" spans="1:7" ht="15.75" x14ac:dyDescent="0.25">
      <c r="A84" s="4" t="s">
        <v>93</v>
      </c>
      <c r="B84" s="5">
        <f>B82+B83</f>
        <v>19107.489999999998</v>
      </c>
      <c r="C84" s="4"/>
      <c r="D84" s="4"/>
      <c r="E84" s="4"/>
      <c r="F84" s="4"/>
      <c r="G84" s="4"/>
    </row>
    <row r="85" spans="1:7" ht="15.75" x14ac:dyDescent="0.25">
      <c r="A85" s="4" t="s">
        <v>94</v>
      </c>
      <c r="B85" s="5">
        <v>0</v>
      </c>
      <c r="C85" s="4"/>
      <c r="D85" s="4"/>
      <c r="E85" s="4"/>
      <c r="F85" s="4"/>
      <c r="G85" s="4"/>
    </row>
    <row r="86" spans="1:7" ht="15.75" x14ac:dyDescent="0.25">
      <c r="A86" s="4" t="s">
        <v>85</v>
      </c>
      <c r="B86" s="5">
        <f>B84+B85</f>
        <v>19107.489999999998</v>
      </c>
      <c r="C86" s="4"/>
      <c r="D86" s="4"/>
      <c r="E86" s="4"/>
      <c r="F86" s="4"/>
      <c r="G86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6"/>
  <sheetViews>
    <sheetView tabSelected="1" workbookViewId="0">
      <selection activeCell="A61" sqref="A61"/>
    </sheetView>
  </sheetViews>
  <sheetFormatPr defaultRowHeight="15" x14ac:dyDescent="0.25"/>
  <cols>
    <col min="1" max="1" width="53.140625" customWidth="1"/>
    <col min="2" max="2" width="11" customWidth="1"/>
    <col min="3" max="3" width="12.140625" customWidth="1"/>
    <col min="4" max="4" width="12.28515625" customWidth="1"/>
    <col min="5" max="5" width="10.5703125" bestFit="1" customWidth="1"/>
    <col min="6" max="6" width="13.7109375" customWidth="1"/>
    <col min="7" max="7" width="11.28515625" bestFit="1" customWidth="1"/>
    <col min="8" max="15" width="11.5703125" bestFit="1" customWidth="1"/>
    <col min="17" max="17" width="15.85546875" customWidth="1"/>
    <col min="18" max="18" width="11" customWidth="1"/>
  </cols>
  <sheetData>
    <row r="2" spans="1:15" ht="15.75" x14ac:dyDescent="0.25">
      <c r="A2" s="9" t="s">
        <v>1</v>
      </c>
      <c r="B2" s="4"/>
      <c r="C2" s="4"/>
      <c r="D2" s="4"/>
      <c r="E2" s="4"/>
      <c r="F2" s="4"/>
      <c r="G2" s="4"/>
    </row>
    <row r="3" spans="1:15" x14ac:dyDescent="0.25">
      <c r="A3" t="s">
        <v>2</v>
      </c>
      <c r="B3" s="38" t="s">
        <v>176</v>
      </c>
      <c r="C3" s="38" t="s">
        <v>177</v>
      </c>
      <c r="D3" s="38" t="s">
        <v>178</v>
      </c>
      <c r="E3" s="38"/>
      <c r="F3" s="39" t="s">
        <v>179</v>
      </c>
      <c r="G3" s="39" t="s">
        <v>180</v>
      </c>
      <c r="H3" s="39" t="s">
        <v>181</v>
      </c>
      <c r="I3" s="39" t="s">
        <v>182</v>
      </c>
      <c r="J3" s="39" t="s">
        <v>183</v>
      </c>
      <c r="K3" s="39" t="s">
        <v>184</v>
      </c>
      <c r="L3" s="39" t="s">
        <v>185</v>
      </c>
      <c r="M3" s="39" t="s">
        <v>186</v>
      </c>
      <c r="N3" s="39" t="s">
        <v>187</v>
      </c>
      <c r="O3" s="39" t="s">
        <v>188</v>
      </c>
    </row>
    <row r="4" spans="1:15" x14ac:dyDescent="0.25">
      <c r="A4" t="s">
        <v>0</v>
      </c>
      <c r="B4" s="1"/>
      <c r="C4" s="12">
        <f>(C19-B19)/B19</f>
        <v>0.17542985551160684</v>
      </c>
      <c r="D4" s="12">
        <f>(D19-C19)/C19</f>
        <v>0.31681228373702414</v>
      </c>
      <c r="E4" s="1"/>
      <c r="F4" s="12">
        <v>0.18</v>
      </c>
      <c r="G4" s="12">
        <v>0.18</v>
      </c>
      <c r="H4" s="12">
        <v>0.18</v>
      </c>
      <c r="I4" s="12">
        <f>H4-2%</f>
        <v>0.16</v>
      </c>
      <c r="J4" s="12">
        <f>I4</f>
        <v>0.16</v>
      </c>
      <c r="K4" s="12">
        <f>J4</f>
        <v>0.16</v>
      </c>
      <c r="L4" s="12">
        <f>K4-2%</f>
        <v>0.14000000000000001</v>
      </c>
      <c r="M4" s="12">
        <f>L4</f>
        <v>0.14000000000000001</v>
      </c>
      <c r="N4" s="12">
        <f>M4</f>
        <v>0.14000000000000001</v>
      </c>
      <c r="O4" s="12">
        <f>N4</f>
        <v>0.14000000000000001</v>
      </c>
    </row>
    <row r="5" spans="1:15" x14ac:dyDescent="0.25">
      <c r="A5" t="s">
        <v>3</v>
      </c>
      <c r="B5" s="12">
        <f>B21/B19</f>
        <v>-0.73183727007432864</v>
      </c>
      <c r="C5" s="12">
        <f t="shared" ref="C5:D5" si="0">C21/C19</f>
        <v>-0.75277357266435985</v>
      </c>
      <c r="D5" s="12">
        <f t="shared" si="0"/>
        <v>-0.74474621198435198</v>
      </c>
      <c r="E5" s="1"/>
      <c r="F5" s="12">
        <f>$D$5</f>
        <v>-0.74474621198435198</v>
      </c>
      <c r="G5" s="12">
        <f t="shared" ref="G5:O5" si="1">$D$5</f>
        <v>-0.74474621198435198</v>
      </c>
      <c r="H5" s="12">
        <f t="shared" si="1"/>
        <v>-0.74474621198435198</v>
      </c>
      <c r="I5" s="12">
        <f t="shared" si="1"/>
        <v>-0.74474621198435198</v>
      </c>
      <c r="J5" s="12">
        <f t="shared" si="1"/>
        <v>-0.74474621198435198</v>
      </c>
      <c r="K5" s="12">
        <f t="shared" si="1"/>
        <v>-0.74474621198435198</v>
      </c>
      <c r="L5" s="12">
        <f t="shared" si="1"/>
        <v>-0.74474621198435198</v>
      </c>
      <c r="M5" s="12">
        <f t="shared" si="1"/>
        <v>-0.74474621198435198</v>
      </c>
      <c r="N5" s="12">
        <f t="shared" si="1"/>
        <v>-0.74474621198435198</v>
      </c>
      <c r="O5" s="12">
        <f t="shared" si="1"/>
        <v>-0.74474621198435198</v>
      </c>
    </row>
    <row r="6" spans="1:15" x14ac:dyDescent="0.25">
      <c r="A6" t="s">
        <v>4</v>
      </c>
      <c r="B6" s="12">
        <f>B25/B19</f>
        <v>-9.8071115539874132E-2</v>
      </c>
      <c r="C6" s="12">
        <f t="shared" ref="C6:D6" si="2">C25/C19</f>
        <v>-0.10075259515570942</v>
      </c>
      <c r="D6" s="12">
        <f t="shared" si="2"/>
        <v>-9.9844143644049685E-2</v>
      </c>
      <c r="E6" s="1"/>
      <c r="F6" s="12">
        <f>$D$6</f>
        <v>-9.9844143644049685E-2</v>
      </c>
      <c r="G6" s="12">
        <f t="shared" ref="G6:O6" si="3">$D$6</f>
        <v>-9.9844143644049685E-2</v>
      </c>
      <c r="H6" s="12">
        <f t="shared" si="3"/>
        <v>-9.9844143644049685E-2</v>
      </c>
      <c r="I6" s="12">
        <f t="shared" si="3"/>
        <v>-9.9844143644049685E-2</v>
      </c>
      <c r="J6" s="12">
        <f t="shared" si="3"/>
        <v>-9.9844143644049685E-2</v>
      </c>
      <c r="K6" s="12">
        <f t="shared" si="3"/>
        <v>-9.9844143644049685E-2</v>
      </c>
      <c r="L6" s="12">
        <f t="shared" si="3"/>
        <v>-9.9844143644049685E-2</v>
      </c>
      <c r="M6" s="12">
        <f t="shared" si="3"/>
        <v>-9.9844143644049685E-2</v>
      </c>
      <c r="N6" s="12">
        <f t="shared" si="3"/>
        <v>-9.9844143644049685E-2</v>
      </c>
      <c r="O6" s="12">
        <f t="shared" si="3"/>
        <v>-9.9844143644049685E-2</v>
      </c>
    </row>
    <row r="7" spans="1:15" x14ac:dyDescent="0.25">
      <c r="A7" t="s">
        <v>5</v>
      </c>
      <c r="B7" s="1">
        <f>B40/B19*'LBO VALUATION DRIVERS'!$B$21</f>
        <v>54.090122220301588</v>
      </c>
      <c r="C7" s="1">
        <f>C40/C19*'LBO VALUATION DRIVERS'!$B$21</f>
        <v>61.297740051903105</v>
      </c>
      <c r="D7" s="1">
        <f>D40/D19*'LBO VALUATION DRIVERS'!$B$21</f>
        <v>63.25699957628094</v>
      </c>
      <c r="E7" s="1"/>
      <c r="F7" s="1">
        <f t="shared" ref="F7:F13" si="4">$D7</f>
        <v>63.25699957628094</v>
      </c>
      <c r="G7" s="1">
        <f t="shared" ref="G7:O11" si="5">$D7</f>
        <v>63.25699957628094</v>
      </c>
      <c r="H7" s="1">
        <f t="shared" si="5"/>
        <v>63.25699957628094</v>
      </c>
      <c r="I7" s="1">
        <f t="shared" si="5"/>
        <v>63.25699957628094</v>
      </c>
      <c r="J7" s="1">
        <f t="shared" si="5"/>
        <v>63.25699957628094</v>
      </c>
      <c r="K7" s="1">
        <f t="shared" si="5"/>
        <v>63.25699957628094</v>
      </c>
      <c r="L7" s="1">
        <f t="shared" si="5"/>
        <v>63.25699957628094</v>
      </c>
      <c r="M7" s="1">
        <f t="shared" si="5"/>
        <v>63.25699957628094</v>
      </c>
      <c r="N7" s="1">
        <f t="shared" si="5"/>
        <v>63.25699957628094</v>
      </c>
      <c r="O7" s="1">
        <f t="shared" si="5"/>
        <v>63.25699957628094</v>
      </c>
    </row>
    <row r="8" spans="1:15" x14ac:dyDescent="0.25">
      <c r="A8" t="s">
        <v>6</v>
      </c>
      <c r="B8" s="1">
        <f>-B41/B21*'LBO VALUATION DRIVERS'!$B$21</f>
        <v>174.59388112373912</v>
      </c>
      <c r="C8" s="1">
        <f>-C41/C21*'LBO VALUATION DRIVERS'!$B$21</f>
        <v>156.42520092219519</v>
      </c>
      <c r="D8" s="1">
        <f>-D41/D21*'LBO VALUATION DRIVERS'!$B$21</f>
        <v>142.51348761719314</v>
      </c>
      <c r="E8" s="1"/>
      <c r="F8" s="1">
        <f t="shared" si="4"/>
        <v>142.51348761719314</v>
      </c>
      <c r="G8" s="1">
        <f t="shared" si="5"/>
        <v>142.51348761719314</v>
      </c>
      <c r="H8" s="1">
        <f t="shared" si="5"/>
        <v>142.51348761719314</v>
      </c>
      <c r="I8" s="1">
        <f t="shared" si="5"/>
        <v>142.51348761719314</v>
      </c>
      <c r="J8" s="1">
        <f t="shared" si="5"/>
        <v>142.51348761719314</v>
      </c>
      <c r="K8" s="1">
        <f t="shared" si="5"/>
        <v>142.51348761719314</v>
      </c>
      <c r="L8" s="1">
        <f t="shared" si="5"/>
        <v>142.51348761719314</v>
      </c>
      <c r="M8" s="1">
        <f t="shared" si="5"/>
        <v>142.51348761719314</v>
      </c>
      <c r="N8" s="1">
        <f t="shared" si="5"/>
        <v>142.51348761719314</v>
      </c>
      <c r="O8" s="1">
        <f t="shared" si="5"/>
        <v>142.51348761719314</v>
      </c>
    </row>
    <row r="9" spans="1:15" x14ac:dyDescent="0.25">
      <c r="A9" t="s">
        <v>7</v>
      </c>
      <c r="B9" s="1">
        <f>-B51/B21*'LBO VALUATION DRIVERS'!$B$21</f>
        <v>45.846868313557678</v>
      </c>
      <c r="C9" s="1">
        <f>-C51/C21*'LBO VALUATION DRIVERS'!$B$21</f>
        <v>39.582627681655936</v>
      </c>
      <c r="D9" s="1">
        <f>-D51/D21*'LBO VALUATION DRIVERS'!$B$21</f>
        <v>44.532798643354653</v>
      </c>
      <c r="E9" s="1"/>
      <c r="F9" s="1">
        <f t="shared" si="4"/>
        <v>44.532798643354653</v>
      </c>
      <c r="G9" s="1">
        <f t="shared" si="5"/>
        <v>44.532798643354653</v>
      </c>
      <c r="H9" s="1">
        <f t="shared" si="5"/>
        <v>44.532798643354653</v>
      </c>
      <c r="I9" s="1">
        <f t="shared" si="5"/>
        <v>44.532798643354653</v>
      </c>
      <c r="J9" s="1">
        <f t="shared" si="5"/>
        <v>44.532798643354653</v>
      </c>
      <c r="K9" s="1">
        <f t="shared" si="5"/>
        <v>44.532798643354653</v>
      </c>
      <c r="L9" s="1">
        <f t="shared" si="5"/>
        <v>44.532798643354653</v>
      </c>
      <c r="M9" s="1">
        <f t="shared" si="5"/>
        <v>44.532798643354653</v>
      </c>
      <c r="N9" s="1">
        <f t="shared" si="5"/>
        <v>44.532798643354653</v>
      </c>
      <c r="O9" s="1">
        <f t="shared" si="5"/>
        <v>44.532798643354653</v>
      </c>
    </row>
    <row r="10" spans="1:15" x14ac:dyDescent="0.25">
      <c r="A10" t="s">
        <v>8</v>
      </c>
      <c r="B10" s="13">
        <f>B42/B19</f>
        <v>1.5696970929464039E-3</v>
      </c>
      <c r="C10" s="13">
        <f t="shared" ref="C10:D10" si="6">C42/C19</f>
        <v>5.7980103806228372E-3</v>
      </c>
      <c r="D10" s="13">
        <f t="shared" si="6"/>
        <v>3.6820858803010051E-3</v>
      </c>
      <c r="E10" s="1"/>
      <c r="F10" s="13">
        <f t="shared" si="4"/>
        <v>3.6820858803010051E-3</v>
      </c>
      <c r="G10" s="13">
        <f t="shared" si="5"/>
        <v>3.6820858803010051E-3</v>
      </c>
      <c r="H10" s="13">
        <f t="shared" si="5"/>
        <v>3.6820858803010051E-3</v>
      </c>
      <c r="I10" s="13">
        <f t="shared" si="5"/>
        <v>3.6820858803010051E-3</v>
      </c>
      <c r="J10" s="13">
        <f t="shared" si="5"/>
        <v>3.6820858803010051E-3</v>
      </c>
      <c r="K10" s="13">
        <f t="shared" si="5"/>
        <v>3.6820858803010051E-3</v>
      </c>
      <c r="L10" s="13">
        <f t="shared" si="5"/>
        <v>3.6820858803010051E-3</v>
      </c>
      <c r="M10" s="13">
        <f t="shared" si="5"/>
        <v>3.6820858803010051E-3</v>
      </c>
      <c r="N10" s="13">
        <f t="shared" si="5"/>
        <v>3.6820858803010051E-3</v>
      </c>
      <c r="O10" s="13">
        <f t="shared" si="5"/>
        <v>3.6820858803010051E-3</v>
      </c>
    </row>
    <row r="11" spans="1:15" x14ac:dyDescent="0.25">
      <c r="A11" t="s">
        <v>9</v>
      </c>
      <c r="B11" s="13">
        <f>B47/B19</f>
        <v>1.3981107710453803E-4</v>
      </c>
      <c r="C11" s="13">
        <f t="shared" ref="C11:D11" si="7">C47/C19</f>
        <v>4.0138408304498264E-3</v>
      </c>
      <c r="D11" s="13">
        <f t="shared" si="7"/>
        <v>2.9561795649160611E-4</v>
      </c>
      <c r="E11" s="1"/>
      <c r="F11" s="13">
        <f t="shared" si="4"/>
        <v>2.9561795649160611E-4</v>
      </c>
      <c r="G11" s="13">
        <f t="shared" si="5"/>
        <v>2.9561795649160611E-4</v>
      </c>
      <c r="H11" s="13">
        <f t="shared" si="5"/>
        <v>2.9561795649160611E-4</v>
      </c>
      <c r="I11" s="13">
        <f t="shared" si="5"/>
        <v>2.9561795649160611E-4</v>
      </c>
      <c r="J11" s="13">
        <f t="shared" si="5"/>
        <v>2.9561795649160611E-4</v>
      </c>
      <c r="K11" s="13">
        <f t="shared" si="5"/>
        <v>2.9561795649160611E-4</v>
      </c>
      <c r="L11" s="13">
        <f t="shared" si="5"/>
        <v>2.9561795649160611E-4</v>
      </c>
      <c r="M11" s="13">
        <f t="shared" si="5"/>
        <v>2.9561795649160611E-4</v>
      </c>
      <c r="N11" s="13">
        <f t="shared" si="5"/>
        <v>2.9561795649160611E-4</v>
      </c>
      <c r="O11" s="13">
        <f t="shared" si="5"/>
        <v>2.9561795649160611E-4</v>
      </c>
    </row>
    <row r="12" spans="1:15" x14ac:dyDescent="0.25">
      <c r="A12" t="s">
        <v>10</v>
      </c>
      <c r="B12" s="12">
        <f>B52/B19</f>
        <v>4.7023549269423572E-2</v>
      </c>
      <c r="C12" s="12">
        <f t="shared" ref="C12:D12" si="8">C52/C19</f>
        <v>4.1084558823529412E-2</v>
      </c>
      <c r="D12" s="12">
        <f t="shared" si="8"/>
        <v>4.0511977454203853E-2</v>
      </c>
      <c r="E12" s="1"/>
      <c r="F12" s="12">
        <f t="shared" si="4"/>
        <v>4.0511977454203853E-2</v>
      </c>
      <c r="G12" s="12">
        <f t="shared" ref="G12:O13" si="9">$D12</f>
        <v>4.0511977454203853E-2</v>
      </c>
      <c r="H12" s="12">
        <f t="shared" si="9"/>
        <v>4.0511977454203853E-2</v>
      </c>
      <c r="I12" s="12">
        <f t="shared" si="9"/>
        <v>4.0511977454203853E-2</v>
      </c>
      <c r="J12" s="12">
        <f t="shared" si="9"/>
        <v>4.0511977454203853E-2</v>
      </c>
      <c r="K12" s="12">
        <f t="shared" si="9"/>
        <v>4.0511977454203853E-2</v>
      </c>
      <c r="L12" s="12">
        <f t="shared" si="9"/>
        <v>4.0511977454203853E-2</v>
      </c>
      <c r="M12" s="12">
        <f t="shared" si="9"/>
        <v>4.0511977454203853E-2</v>
      </c>
      <c r="N12" s="12">
        <f t="shared" si="9"/>
        <v>4.0511977454203853E-2</v>
      </c>
      <c r="O12" s="12">
        <f t="shared" si="9"/>
        <v>4.0511977454203853E-2</v>
      </c>
    </row>
    <row r="13" spans="1:15" x14ac:dyDescent="0.25">
      <c r="A13" t="s">
        <v>11</v>
      </c>
      <c r="B13" s="12">
        <f>B55/B19</f>
        <v>0.14034108818774341</v>
      </c>
      <c r="C13" s="12">
        <f t="shared" ref="C13:D13" si="10">C55/C19</f>
        <v>0.14092019896193772</v>
      </c>
      <c r="D13" s="12">
        <f t="shared" si="10"/>
        <v>2.2724809244301966E-2</v>
      </c>
      <c r="E13" s="1"/>
      <c r="F13" s="12">
        <f t="shared" si="4"/>
        <v>2.2724809244301966E-2</v>
      </c>
      <c r="G13" s="12">
        <f t="shared" si="9"/>
        <v>2.2724809244301966E-2</v>
      </c>
      <c r="H13" s="12">
        <f t="shared" si="9"/>
        <v>2.2724809244301966E-2</v>
      </c>
      <c r="I13" s="12">
        <f t="shared" si="9"/>
        <v>2.2724809244301966E-2</v>
      </c>
      <c r="J13" s="12">
        <f t="shared" si="9"/>
        <v>2.2724809244301966E-2</v>
      </c>
      <c r="K13" s="12">
        <f t="shared" si="9"/>
        <v>2.2724809244301966E-2</v>
      </c>
      <c r="L13" s="12">
        <f t="shared" si="9"/>
        <v>2.2724809244301966E-2</v>
      </c>
      <c r="M13" s="12">
        <f t="shared" si="9"/>
        <v>2.2724809244301966E-2</v>
      </c>
      <c r="N13" s="12">
        <f t="shared" si="9"/>
        <v>2.2724809244301966E-2</v>
      </c>
      <c r="O13" s="12">
        <f t="shared" si="9"/>
        <v>2.2724809244301966E-2</v>
      </c>
    </row>
    <row r="14" spans="1:15" x14ac:dyDescent="0.25">
      <c r="A14" t="s">
        <v>12</v>
      </c>
      <c r="B14" s="12">
        <f>-B75/B19</f>
        <v>3.1887093658169538E-2</v>
      </c>
      <c r="C14" s="12">
        <f t="shared" ref="C14:D14" si="11">-C75/C19</f>
        <v>2.9378243944636676E-2</v>
      </c>
      <c r="D14" s="12">
        <f t="shared" si="11"/>
        <v>3.2582846932306779E-2</v>
      </c>
      <c r="E14" s="1"/>
      <c r="F14" s="12">
        <f>B14</f>
        <v>3.1887093658169538E-2</v>
      </c>
      <c r="G14" s="12">
        <f>$F14</f>
        <v>3.1887093658169538E-2</v>
      </c>
      <c r="H14" s="12">
        <f t="shared" ref="H14:O14" si="12">$F14</f>
        <v>3.1887093658169538E-2</v>
      </c>
      <c r="I14" s="12">
        <f t="shared" si="12"/>
        <v>3.1887093658169538E-2</v>
      </c>
      <c r="J14" s="12">
        <f t="shared" si="12"/>
        <v>3.1887093658169538E-2</v>
      </c>
      <c r="K14" s="12">
        <f t="shared" si="12"/>
        <v>3.1887093658169538E-2</v>
      </c>
      <c r="L14" s="12">
        <f t="shared" si="12"/>
        <v>3.1887093658169538E-2</v>
      </c>
      <c r="M14" s="12">
        <f t="shared" si="12"/>
        <v>3.1887093658169538E-2</v>
      </c>
      <c r="N14" s="12">
        <f t="shared" si="12"/>
        <v>3.1887093658169538E-2</v>
      </c>
      <c r="O14" s="12">
        <f t="shared" si="12"/>
        <v>3.1887093658169538E-2</v>
      </c>
    </row>
    <row r="15" spans="1:15" x14ac:dyDescent="0.25">
      <c r="A15" t="s">
        <v>172</v>
      </c>
      <c r="B15" s="12">
        <f>-B28/B19</f>
        <v>6.3588619886727604E-3</v>
      </c>
      <c r="C15" s="12">
        <f t="shared" ref="C15:D15" si="13">-C28/C19</f>
        <v>6.5484429065743944E-3</v>
      </c>
      <c r="D15" s="12">
        <f t="shared" si="13"/>
        <v>4.4490502451986717E-3</v>
      </c>
      <c r="E15" s="1"/>
      <c r="F15" s="12">
        <f>$C15</f>
        <v>6.5484429065743944E-3</v>
      </c>
      <c r="G15" s="12">
        <f t="shared" ref="G15:O15" si="14">$C15</f>
        <v>6.5484429065743944E-3</v>
      </c>
      <c r="H15" s="12">
        <f t="shared" si="14"/>
        <v>6.5484429065743944E-3</v>
      </c>
      <c r="I15" s="12">
        <f t="shared" si="14"/>
        <v>6.5484429065743944E-3</v>
      </c>
      <c r="J15" s="12">
        <f t="shared" si="14"/>
        <v>6.5484429065743944E-3</v>
      </c>
      <c r="K15" s="12">
        <f t="shared" si="14"/>
        <v>6.5484429065743944E-3</v>
      </c>
      <c r="L15" s="12">
        <f t="shared" si="14"/>
        <v>6.5484429065743944E-3</v>
      </c>
      <c r="M15" s="12">
        <f t="shared" si="14"/>
        <v>6.5484429065743944E-3</v>
      </c>
      <c r="N15" s="12">
        <f t="shared" si="14"/>
        <v>6.5484429065743944E-3</v>
      </c>
      <c r="O15" s="12">
        <f t="shared" si="14"/>
        <v>6.5484429065743944E-3</v>
      </c>
    </row>
    <row r="17" spans="1:15" ht="15.75" x14ac:dyDescent="0.25">
      <c r="A17" s="9" t="s">
        <v>13</v>
      </c>
      <c r="B17" s="4"/>
      <c r="C17" s="4"/>
      <c r="D17" s="4"/>
      <c r="E17" s="4"/>
      <c r="F17" s="4"/>
      <c r="G17" s="4"/>
    </row>
    <row r="18" spans="1:15" x14ac:dyDescent="0.25">
      <c r="A18" t="s">
        <v>14</v>
      </c>
      <c r="B18" s="38" t="s">
        <v>176</v>
      </c>
      <c r="C18" s="38" t="s">
        <v>177</v>
      </c>
      <c r="D18" s="38" t="s">
        <v>178</v>
      </c>
      <c r="E18" s="38"/>
      <c r="F18" s="39" t="s">
        <v>179</v>
      </c>
      <c r="G18" s="39" t="s">
        <v>180</v>
      </c>
      <c r="H18" s="39" t="s">
        <v>181</v>
      </c>
      <c r="I18" s="39" t="s">
        <v>182</v>
      </c>
      <c r="J18" s="39" t="s">
        <v>183</v>
      </c>
      <c r="K18" s="39" t="s">
        <v>184</v>
      </c>
      <c r="L18" s="39" t="s">
        <v>185</v>
      </c>
      <c r="M18" s="39" t="s">
        <v>186</v>
      </c>
      <c r="N18" s="39" t="s">
        <v>187</v>
      </c>
      <c r="O18" s="39" t="s">
        <v>188</v>
      </c>
    </row>
    <row r="19" spans="1:15" x14ac:dyDescent="0.25">
      <c r="A19" t="s">
        <v>0</v>
      </c>
      <c r="B19" s="1">
        <v>7867.76</v>
      </c>
      <c r="C19" s="1">
        <v>9248</v>
      </c>
      <c r="D19" s="1">
        <v>12177.88</v>
      </c>
      <c r="E19" s="1"/>
      <c r="F19" s="1">
        <f>$D19*(1+F4)</f>
        <v>14369.898399999998</v>
      </c>
      <c r="G19" s="1">
        <f>F19*(1+G4)</f>
        <v>16956.480111999997</v>
      </c>
      <c r="H19" s="1">
        <f t="shared" ref="H19:O19" si="15">G19*(1+H4)</f>
        <v>20008.646532159997</v>
      </c>
      <c r="I19" s="1">
        <f t="shared" si="15"/>
        <v>23210.029977305596</v>
      </c>
      <c r="J19" s="1">
        <f t="shared" si="15"/>
        <v>26923.63477367449</v>
      </c>
      <c r="K19" s="1">
        <f t="shared" si="15"/>
        <v>31231.416337462408</v>
      </c>
      <c r="L19" s="1">
        <f t="shared" si="15"/>
        <v>35603.814624707149</v>
      </c>
      <c r="M19" s="1">
        <f t="shared" si="15"/>
        <v>40588.348672166154</v>
      </c>
      <c r="N19" s="1">
        <f t="shared" si="15"/>
        <v>46270.717486269423</v>
      </c>
      <c r="O19" s="1">
        <f t="shared" si="15"/>
        <v>52748.617934347145</v>
      </c>
    </row>
    <row r="20" spans="1:15" x14ac:dyDescent="0.25">
      <c r="A20" t="s">
        <v>15</v>
      </c>
      <c r="B20" s="1">
        <v>0.13100953120856329</v>
      </c>
      <c r="C20" s="12">
        <f>C4</f>
        <v>0.17542985551160684</v>
      </c>
      <c r="D20" s="12">
        <f t="shared" ref="D20:O20" si="16">D4</f>
        <v>0.31681228373702414</v>
      </c>
      <c r="E20" s="12"/>
      <c r="F20" s="12">
        <f t="shared" si="16"/>
        <v>0.18</v>
      </c>
      <c r="G20" s="12">
        <f t="shared" si="16"/>
        <v>0.18</v>
      </c>
      <c r="H20" s="12">
        <f t="shared" si="16"/>
        <v>0.18</v>
      </c>
      <c r="I20" s="12">
        <f t="shared" si="16"/>
        <v>0.16</v>
      </c>
      <c r="J20" s="12">
        <f t="shared" si="16"/>
        <v>0.16</v>
      </c>
      <c r="K20" s="12">
        <f t="shared" si="16"/>
        <v>0.16</v>
      </c>
      <c r="L20" s="12">
        <f t="shared" si="16"/>
        <v>0.14000000000000001</v>
      </c>
      <c r="M20" s="12">
        <f t="shared" si="16"/>
        <v>0.14000000000000001</v>
      </c>
      <c r="N20" s="12">
        <f t="shared" si="16"/>
        <v>0.14000000000000001</v>
      </c>
      <c r="O20" s="12">
        <f t="shared" si="16"/>
        <v>0.14000000000000001</v>
      </c>
    </row>
    <row r="21" spans="1:15" x14ac:dyDescent="0.25">
      <c r="A21" t="s">
        <v>3</v>
      </c>
      <c r="B21" s="3">
        <v>-5757.92</v>
      </c>
      <c r="C21" s="3">
        <v>-6961.65</v>
      </c>
      <c r="D21" s="3">
        <v>-9069.43</v>
      </c>
      <c r="E21" s="1"/>
      <c r="F21" s="1">
        <f>F19*F5</f>
        <v>-10701.927399999999</v>
      </c>
      <c r="G21" s="1">
        <f>G22*G19</f>
        <v>-12628.274331999999</v>
      </c>
      <c r="H21" s="1">
        <f t="shared" ref="H21:O21" si="17">H22*H19</f>
        <v>-14901.363711759999</v>
      </c>
      <c r="I21" s="1">
        <f t="shared" si="17"/>
        <v>-17285.581905641597</v>
      </c>
      <c r="J21" s="1">
        <f t="shared" si="17"/>
        <v>-20051.275010544254</v>
      </c>
      <c r="K21" s="1">
        <f t="shared" si="17"/>
        <v>-23259.479012231332</v>
      </c>
      <c r="L21" s="1">
        <f t="shared" si="17"/>
        <v>-26515.806073943721</v>
      </c>
      <c r="M21" s="1">
        <f t="shared" si="17"/>
        <v>-30228.018924295844</v>
      </c>
      <c r="N21" s="1">
        <f t="shared" si="17"/>
        <v>-34459.941573697266</v>
      </c>
      <c r="O21" s="1">
        <f t="shared" si="17"/>
        <v>-39284.333394014888</v>
      </c>
    </row>
    <row r="22" spans="1:15" x14ac:dyDescent="0.25">
      <c r="A22" t="s">
        <v>16</v>
      </c>
      <c r="B22" s="12">
        <f>B5</f>
        <v>-0.73183727007432864</v>
      </c>
      <c r="C22" s="12">
        <f t="shared" ref="C22:O22" si="18">C5</f>
        <v>-0.75277357266435985</v>
      </c>
      <c r="D22" s="12">
        <f t="shared" si="18"/>
        <v>-0.74474621198435198</v>
      </c>
      <c r="E22" s="12"/>
      <c r="F22" s="12">
        <f t="shared" si="18"/>
        <v>-0.74474621198435198</v>
      </c>
      <c r="G22" s="12">
        <f t="shared" si="18"/>
        <v>-0.74474621198435198</v>
      </c>
      <c r="H22" s="12">
        <f t="shared" si="18"/>
        <v>-0.74474621198435198</v>
      </c>
      <c r="I22" s="12">
        <f t="shared" si="18"/>
        <v>-0.74474621198435198</v>
      </c>
      <c r="J22" s="12">
        <f t="shared" si="18"/>
        <v>-0.74474621198435198</v>
      </c>
      <c r="K22" s="12">
        <f t="shared" si="18"/>
        <v>-0.74474621198435198</v>
      </c>
      <c r="L22" s="12">
        <f t="shared" si="18"/>
        <v>-0.74474621198435198</v>
      </c>
      <c r="M22" s="12">
        <f t="shared" si="18"/>
        <v>-0.74474621198435198</v>
      </c>
      <c r="N22" s="12">
        <f t="shared" si="18"/>
        <v>-0.74474621198435198</v>
      </c>
      <c r="O22" s="12">
        <f t="shared" si="18"/>
        <v>-0.74474621198435198</v>
      </c>
    </row>
    <row r="23" spans="1:15" x14ac:dyDescent="0.25">
      <c r="A23" t="s">
        <v>17</v>
      </c>
      <c r="B23" s="1">
        <f>B19+B21</f>
        <v>2109.84</v>
      </c>
      <c r="C23" s="1">
        <f>C19+C21</f>
        <v>2286.3500000000004</v>
      </c>
      <c r="D23" s="1">
        <f>D19+D21</f>
        <v>3108.4499999999989</v>
      </c>
      <c r="E23" s="1"/>
      <c r="F23" s="1">
        <f>F19+F21</f>
        <v>3667.9709999999995</v>
      </c>
      <c r="G23" s="1">
        <f t="shared" ref="G23:O23" si="19">G19+G21</f>
        <v>4328.2057799999984</v>
      </c>
      <c r="H23" s="1">
        <f t="shared" si="19"/>
        <v>5107.2828203999979</v>
      </c>
      <c r="I23" s="1">
        <f t="shared" si="19"/>
        <v>5924.4480716639991</v>
      </c>
      <c r="J23" s="1">
        <f t="shared" si="19"/>
        <v>6872.3597631302364</v>
      </c>
      <c r="K23" s="1">
        <f t="shared" si="19"/>
        <v>7971.9373252310761</v>
      </c>
      <c r="L23" s="1">
        <f t="shared" si="19"/>
        <v>9088.0085507634285</v>
      </c>
      <c r="M23" s="1">
        <f t="shared" si="19"/>
        <v>10360.32974787031</v>
      </c>
      <c r="N23" s="1">
        <f t="shared" si="19"/>
        <v>11810.775912572157</v>
      </c>
      <c r="O23" s="1">
        <f t="shared" si="19"/>
        <v>13464.284540332257</v>
      </c>
    </row>
    <row r="24" spans="1:15" x14ac:dyDescent="0.25">
      <c r="A24" t="s">
        <v>18</v>
      </c>
      <c r="B24" s="12">
        <f>B23/B19</f>
        <v>0.26816272992567136</v>
      </c>
      <c r="C24" s="12">
        <f t="shared" ref="C24:D24" si="20">C23/C19</f>
        <v>0.24722642733564018</v>
      </c>
      <c r="D24" s="12">
        <f t="shared" si="20"/>
        <v>0.25525378801564796</v>
      </c>
      <c r="E24" s="1"/>
      <c r="F24" s="12">
        <f>F23/F19</f>
        <v>0.25525378801564802</v>
      </c>
      <c r="G24" s="12">
        <f t="shared" ref="G24:O24" si="21">G23/G19</f>
        <v>0.25525378801564796</v>
      </c>
      <c r="H24" s="12">
        <f t="shared" si="21"/>
        <v>0.25525378801564796</v>
      </c>
      <c r="I24" s="12">
        <f t="shared" si="21"/>
        <v>0.25525378801564808</v>
      </c>
      <c r="J24" s="12">
        <f t="shared" si="21"/>
        <v>0.25525378801564796</v>
      </c>
      <c r="K24" s="12">
        <f t="shared" si="21"/>
        <v>0.25525378801564802</v>
      </c>
      <c r="L24" s="12">
        <f t="shared" si="21"/>
        <v>0.25525378801564808</v>
      </c>
      <c r="M24" s="12">
        <f t="shared" si="21"/>
        <v>0.25525378801564808</v>
      </c>
      <c r="N24" s="12">
        <f t="shared" si="21"/>
        <v>0.25525378801564808</v>
      </c>
      <c r="O24" s="12">
        <f t="shared" si="21"/>
        <v>0.25525378801564808</v>
      </c>
    </row>
    <row r="25" spans="1:15" x14ac:dyDescent="0.25">
      <c r="A25" t="s">
        <v>4</v>
      </c>
      <c r="B25" s="1">
        <v>-771.60000000000014</v>
      </c>
      <c r="C25" s="1">
        <v>-931.76000000000067</v>
      </c>
      <c r="D25" s="1">
        <v>-1215.8899999999996</v>
      </c>
      <c r="E25" s="1"/>
      <c r="F25" s="1">
        <f>F6*F19</f>
        <v>-1434.7501999999995</v>
      </c>
      <c r="G25" s="1">
        <f t="shared" ref="G25:O25" si="22">G6*G19</f>
        <v>-1693.0052359999995</v>
      </c>
      <c r="H25" s="1">
        <f t="shared" si="22"/>
        <v>-1997.7461784799993</v>
      </c>
      <c r="I25" s="1">
        <f t="shared" si="22"/>
        <v>-2317.3855670367993</v>
      </c>
      <c r="J25" s="1">
        <f t="shared" si="22"/>
        <v>-2688.1672577626869</v>
      </c>
      <c r="K25" s="1">
        <f t="shared" si="22"/>
        <v>-3118.2740190047166</v>
      </c>
      <c r="L25" s="1">
        <f t="shared" si="22"/>
        <v>-3554.8323816653774</v>
      </c>
      <c r="M25" s="1">
        <f t="shared" si="22"/>
        <v>-4052.5089150985309</v>
      </c>
      <c r="N25" s="1">
        <f t="shared" si="22"/>
        <v>-4619.8601632123255</v>
      </c>
      <c r="O25" s="1">
        <f t="shared" si="22"/>
        <v>-5266.6405860620516</v>
      </c>
    </row>
    <row r="26" spans="1:15" x14ac:dyDescent="0.25">
      <c r="A26" t="s">
        <v>16</v>
      </c>
      <c r="B26" s="12">
        <f>B6</f>
        <v>-9.8071115539874132E-2</v>
      </c>
      <c r="C26" s="12">
        <f t="shared" ref="C26:O26" si="23">C6</f>
        <v>-0.10075259515570942</v>
      </c>
      <c r="D26" s="12">
        <f t="shared" si="23"/>
        <v>-9.9844143644049685E-2</v>
      </c>
      <c r="E26" s="12"/>
      <c r="F26" s="12">
        <f t="shared" si="23"/>
        <v>-9.9844143644049685E-2</v>
      </c>
      <c r="G26" s="12">
        <f t="shared" si="23"/>
        <v>-9.9844143644049685E-2</v>
      </c>
      <c r="H26" s="12">
        <f t="shared" si="23"/>
        <v>-9.9844143644049685E-2</v>
      </c>
      <c r="I26" s="12">
        <f t="shared" si="23"/>
        <v>-9.9844143644049685E-2</v>
      </c>
      <c r="J26" s="12">
        <f t="shared" si="23"/>
        <v>-9.9844143644049685E-2</v>
      </c>
      <c r="K26" s="12">
        <f t="shared" si="23"/>
        <v>-9.9844143644049685E-2</v>
      </c>
      <c r="L26" s="12">
        <f t="shared" si="23"/>
        <v>-9.9844143644049685E-2</v>
      </c>
      <c r="M26" s="12">
        <f t="shared" si="23"/>
        <v>-9.9844143644049685E-2</v>
      </c>
      <c r="N26" s="12">
        <f t="shared" si="23"/>
        <v>-9.9844143644049685E-2</v>
      </c>
      <c r="O26" s="12">
        <f t="shared" si="23"/>
        <v>-9.9844143644049685E-2</v>
      </c>
    </row>
    <row r="27" spans="1:15" x14ac:dyDescent="0.25">
      <c r="A27" t="s">
        <v>19</v>
      </c>
      <c r="B27" s="1">
        <f>B23+B25</f>
        <v>1338.24</v>
      </c>
      <c r="C27" s="1">
        <f>C23+C25</f>
        <v>1354.5899999999997</v>
      </c>
      <c r="D27" s="1">
        <f>D23+D25</f>
        <v>1892.5599999999993</v>
      </c>
      <c r="E27" s="1"/>
      <c r="F27" s="1">
        <f>F23+F25</f>
        <v>2233.2208000000001</v>
      </c>
      <c r="G27" s="1">
        <f t="shared" ref="G27:O27" si="24">G23+G25</f>
        <v>2635.2005439999989</v>
      </c>
      <c r="H27" s="1">
        <f t="shared" si="24"/>
        <v>3109.5366419199986</v>
      </c>
      <c r="I27" s="1">
        <f t="shared" si="24"/>
        <v>3607.0625046271998</v>
      </c>
      <c r="J27" s="1">
        <f t="shared" si="24"/>
        <v>4184.1925053675495</v>
      </c>
      <c r="K27" s="1">
        <f t="shared" si="24"/>
        <v>4853.6633062263591</v>
      </c>
      <c r="L27" s="1">
        <f t="shared" si="24"/>
        <v>5533.1761690980511</v>
      </c>
      <c r="M27" s="1">
        <f t="shared" si="24"/>
        <v>6307.8208327717784</v>
      </c>
      <c r="N27" s="1">
        <f t="shared" si="24"/>
        <v>7190.9157493598314</v>
      </c>
      <c r="O27" s="1">
        <f t="shared" si="24"/>
        <v>8197.6439542702065</v>
      </c>
    </row>
    <row r="28" spans="1:15" x14ac:dyDescent="0.25">
      <c r="A28" t="s">
        <v>20</v>
      </c>
      <c r="B28" s="1">
        <v>-50.03</v>
      </c>
      <c r="C28" s="1">
        <v>-60.56</v>
      </c>
      <c r="D28" s="1">
        <v>-54.18</v>
      </c>
      <c r="E28" s="1"/>
      <c r="F28" s="1">
        <f t="shared" ref="F28:O28" si="25">F110+F122</f>
        <v>-187.71670924567474</v>
      </c>
      <c r="G28" s="1">
        <f t="shared" si="25"/>
        <v>-315.69333381979237</v>
      </c>
      <c r="H28" s="1">
        <f t="shared" si="25"/>
        <v>-486.69268836103254</v>
      </c>
      <c r="I28" s="1">
        <f t="shared" si="25"/>
        <v>-701.57447466506358</v>
      </c>
      <c r="J28" s="1">
        <f t="shared" si="25"/>
        <v>-975.15567576434216</v>
      </c>
      <c r="K28" s="1">
        <f t="shared" si="25"/>
        <v>-1320.7191306639643</v>
      </c>
      <c r="L28" s="1">
        <f t="shared" si="25"/>
        <v>-1725.6630812830726</v>
      </c>
      <c r="M28" s="1">
        <f t="shared" si="25"/>
        <v>-2219.9401216145175</v>
      </c>
      <c r="N28" s="1">
        <f t="shared" si="25"/>
        <v>-2820.626615345619</v>
      </c>
      <c r="O28" s="1">
        <f t="shared" si="25"/>
        <v>-3547.8293794377846</v>
      </c>
    </row>
    <row r="29" spans="1:15" x14ac:dyDescent="0.25">
      <c r="A29" t="s">
        <v>21</v>
      </c>
      <c r="B29" s="1">
        <f>B27+B28</f>
        <v>1288.21</v>
      </c>
      <c r="C29" s="1">
        <f>C27+C28</f>
        <v>1294.0299999999997</v>
      </c>
      <c r="D29" s="1">
        <f>D27+D28</f>
        <v>1838.3799999999992</v>
      </c>
      <c r="E29" s="1"/>
      <c r="F29" s="1">
        <f>F27+F28</f>
        <v>2045.5040907543253</v>
      </c>
      <c r="G29" s="1">
        <f t="shared" ref="G29:O29" si="26">G27+G28</f>
        <v>2319.5072101802066</v>
      </c>
      <c r="H29" s="1">
        <f t="shared" si="26"/>
        <v>2622.8439535589659</v>
      </c>
      <c r="I29" s="1">
        <f t="shared" si="26"/>
        <v>2905.4880299621364</v>
      </c>
      <c r="J29" s="1">
        <f t="shared" si="26"/>
        <v>3209.0368296032075</v>
      </c>
      <c r="K29" s="1">
        <f t="shared" si="26"/>
        <v>3532.9441755623948</v>
      </c>
      <c r="L29" s="1">
        <f t="shared" si="26"/>
        <v>3807.5130878149785</v>
      </c>
      <c r="M29" s="1">
        <f t="shared" si="26"/>
        <v>4087.880711157261</v>
      </c>
      <c r="N29" s="1">
        <f t="shared" si="26"/>
        <v>4370.2891340142123</v>
      </c>
      <c r="O29" s="1">
        <f t="shared" si="26"/>
        <v>4649.8145748324223</v>
      </c>
    </row>
    <row r="30" spans="1:15" x14ac:dyDescent="0.25">
      <c r="A30" t="s">
        <v>22</v>
      </c>
      <c r="B30" s="1">
        <v>-213.72</v>
      </c>
      <c r="C30" s="1">
        <v>-182.21</v>
      </c>
      <c r="D30" s="1">
        <v>-350.41</v>
      </c>
      <c r="E30" s="1"/>
      <c r="F30" s="1">
        <f ca="1">F145+F150+F155+F171</f>
        <v>-1153.4626518612022</v>
      </c>
      <c r="G30" s="1">
        <f t="shared" ref="G30:O30" ca="1" si="27">G145+G150+G155+G171</f>
        <v>-1272.8561165270576</v>
      </c>
      <c r="H30" s="1">
        <f t="shared" ca="1" si="27"/>
        <v>-1279.1068059038505</v>
      </c>
      <c r="I30" s="1">
        <f t="shared" ca="1" si="27"/>
        <v>-1384.6943020444762</v>
      </c>
      <c r="J30" s="1">
        <f t="shared" ca="1" si="27"/>
        <v>-1368.77883218744</v>
      </c>
      <c r="K30" s="1">
        <f t="shared" ca="1" si="27"/>
        <v>-1337.499038279527</v>
      </c>
      <c r="L30" s="1">
        <f t="shared" ca="1" si="27"/>
        <v>-1278.2875410741833</v>
      </c>
      <c r="M30" s="1">
        <f t="shared" ca="1" si="27"/>
        <v>-1695.9232232853201</v>
      </c>
      <c r="N30" s="1">
        <f t="shared" ca="1" si="27"/>
        <v>-1166.4612918828341</v>
      </c>
      <c r="O30" s="1">
        <f t="shared" ca="1" si="27"/>
        <v>-1114.4666817524885</v>
      </c>
    </row>
    <row r="31" spans="1:15" x14ac:dyDescent="0.25">
      <c r="A31" t="s">
        <v>26</v>
      </c>
      <c r="B31" s="1">
        <v>83.15</v>
      </c>
      <c r="C31" s="1">
        <v>79.7</v>
      </c>
      <c r="D31" s="1">
        <v>131.25</v>
      </c>
      <c r="E31" s="1"/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</row>
    <row r="32" spans="1:15" x14ac:dyDescent="0.25">
      <c r="A32" t="s">
        <v>23</v>
      </c>
      <c r="B32" s="1">
        <f>SUM(B29:B31)</f>
        <v>1157.6400000000001</v>
      </c>
      <c r="C32" s="1">
        <f>SUM(C29:C31)</f>
        <v>1191.5199999999998</v>
      </c>
      <c r="D32" s="1">
        <f>SUM(D29:D31)</f>
        <v>1619.2199999999991</v>
      </c>
      <c r="E32" s="1"/>
      <c r="F32" s="1">
        <f ca="1">F29+F30+F31</f>
        <v>892.04143889312309</v>
      </c>
      <c r="G32" s="1">
        <f t="shared" ref="G32:O32" ca="1" si="28">G29+G30+G31</f>
        <v>1046.651093653149</v>
      </c>
      <c r="H32" s="1">
        <f t="shared" ca="1" si="28"/>
        <v>1343.7371476551155</v>
      </c>
      <c r="I32" s="1">
        <f t="shared" ca="1" si="28"/>
        <v>1520.7937279176601</v>
      </c>
      <c r="J32" s="1">
        <f t="shared" ca="1" si="28"/>
        <v>1840.2579974157675</v>
      </c>
      <c r="K32" s="1">
        <f t="shared" ca="1" si="28"/>
        <v>2195.445137282868</v>
      </c>
      <c r="L32" s="1">
        <f t="shared" ca="1" si="28"/>
        <v>2529.2255467407949</v>
      </c>
      <c r="M32" s="1">
        <f t="shared" ca="1" si="28"/>
        <v>2391.9574878719409</v>
      </c>
      <c r="N32" s="1">
        <f t="shared" ca="1" si="28"/>
        <v>3203.827842131378</v>
      </c>
      <c r="O32" s="1">
        <f t="shared" ca="1" si="28"/>
        <v>3535.3478930799338</v>
      </c>
    </row>
    <row r="33" spans="1:15" x14ac:dyDescent="0.25">
      <c r="A33" t="s">
        <v>24</v>
      </c>
      <c r="B33" s="1">
        <v>-371.33</v>
      </c>
      <c r="C33" s="1">
        <v>-401.54</v>
      </c>
      <c r="D33" s="1">
        <v>-554.04</v>
      </c>
      <c r="E33" s="1"/>
      <c r="F33" s="1">
        <f ca="1">IF(F32&gt;0,-F32*'LBO VALUATION DRIVERS'!$B$25,0)</f>
        <v>-303.2940892236619</v>
      </c>
      <c r="G33" s="1">
        <f ca="1">IF(G32&gt;0,-G32*'LBO VALUATION DRIVERS'!$B$25,0)</f>
        <v>-355.8613718420707</v>
      </c>
      <c r="H33" s="1">
        <f ca="1">IF(H32&gt;0,-H32*'LBO VALUATION DRIVERS'!$B$25,0)</f>
        <v>-456.87063020273928</v>
      </c>
      <c r="I33" s="1">
        <f ca="1">IF(I32&gt;0,-I32*'LBO VALUATION DRIVERS'!$B$25,0)</f>
        <v>-517.06986749200451</v>
      </c>
      <c r="J33" s="1">
        <f ca="1">IF(J32&gt;0,-J32*'LBO VALUATION DRIVERS'!$B$25,0)</f>
        <v>-625.68771912136094</v>
      </c>
      <c r="K33" s="1">
        <f ca="1">IF(K32&gt;0,-K32*'LBO VALUATION DRIVERS'!$B$25,0)</f>
        <v>-746.45134667617515</v>
      </c>
      <c r="L33" s="1">
        <f ca="1">IF(L32&gt;0,-L32*'LBO VALUATION DRIVERS'!$B$25,0)</f>
        <v>-859.9366858918703</v>
      </c>
      <c r="M33" s="1">
        <f ca="1">IF(M32&gt;0,-M32*'LBO VALUATION DRIVERS'!$B$25,0)</f>
        <v>-813.26554587646001</v>
      </c>
      <c r="N33" s="1">
        <f ca="1">IF(N32&gt;0,-N32*'LBO VALUATION DRIVERS'!$B$25,0)</f>
        <v>-1089.3014663246686</v>
      </c>
      <c r="O33" s="1">
        <f ca="1">IF(O32&gt;0,-O32*'LBO VALUATION DRIVERS'!$B$25,0)</f>
        <v>-1202.0182836471777</v>
      </c>
    </row>
    <row r="34" spans="1:15" s="2" customFormat="1" x14ac:dyDescent="0.25">
      <c r="A34" s="2" t="s">
        <v>25</v>
      </c>
      <c r="B34" s="21">
        <f>B32+B33</f>
        <v>786.31000000000017</v>
      </c>
      <c r="C34" s="21">
        <f>C32+C33</f>
        <v>789.97999999999979</v>
      </c>
      <c r="D34" s="21">
        <f>D32+D33</f>
        <v>1065.1799999999992</v>
      </c>
      <c r="E34" s="21"/>
      <c r="F34" s="21">
        <f ca="1">F32+F33</f>
        <v>588.74734966946119</v>
      </c>
      <c r="G34" s="21">
        <f t="shared" ref="G34:O34" ca="1" si="29">G32+G33</f>
        <v>690.78972181107838</v>
      </c>
      <c r="H34" s="21">
        <f t="shared" ca="1" si="29"/>
        <v>886.86651745237623</v>
      </c>
      <c r="I34" s="21">
        <f t="shared" ca="1" si="29"/>
        <v>1003.7238604256556</v>
      </c>
      <c r="J34" s="21">
        <f t="shared" ca="1" si="29"/>
        <v>1214.5702782944065</v>
      </c>
      <c r="K34" s="21">
        <f t="shared" ca="1" si="29"/>
        <v>1448.993790606693</v>
      </c>
      <c r="L34" s="21">
        <f t="shared" ca="1" si="29"/>
        <v>1669.2888608489247</v>
      </c>
      <c r="M34" s="21">
        <f t="shared" ca="1" si="29"/>
        <v>1578.6919419954809</v>
      </c>
      <c r="N34" s="21">
        <f t="shared" ca="1" si="29"/>
        <v>2114.5263758067094</v>
      </c>
      <c r="O34" s="21">
        <f t="shared" ca="1" si="29"/>
        <v>2333.3296094327561</v>
      </c>
    </row>
    <row r="37" spans="1:15" ht="15.75" x14ac:dyDescent="0.25">
      <c r="A37" s="9" t="s">
        <v>95</v>
      </c>
      <c r="B37" s="4"/>
      <c r="C37" s="4"/>
      <c r="D37" s="4"/>
      <c r="E37" s="4"/>
      <c r="F37" s="4"/>
      <c r="G37" s="4"/>
    </row>
    <row r="38" spans="1:15" x14ac:dyDescent="0.25">
      <c r="B38" s="38" t="s">
        <v>176</v>
      </c>
      <c r="C38" s="38" t="s">
        <v>177</v>
      </c>
      <c r="D38" s="38" t="s">
        <v>178</v>
      </c>
      <c r="E38" s="38" t="s">
        <v>96</v>
      </c>
      <c r="F38" s="39" t="s">
        <v>179</v>
      </c>
      <c r="G38" s="39" t="s">
        <v>180</v>
      </c>
      <c r="H38" s="39" t="s">
        <v>181</v>
      </c>
      <c r="I38" s="39" t="s">
        <v>182</v>
      </c>
      <c r="J38" s="39" t="s">
        <v>183</v>
      </c>
      <c r="K38" s="39" t="s">
        <v>184</v>
      </c>
      <c r="L38" s="39" t="s">
        <v>185</v>
      </c>
      <c r="M38" s="39" t="s">
        <v>186</v>
      </c>
      <c r="N38" s="39" t="s">
        <v>187</v>
      </c>
      <c r="O38" s="39" t="s">
        <v>188</v>
      </c>
    </row>
    <row r="39" spans="1:15" x14ac:dyDescent="0.25">
      <c r="A39" t="s">
        <v>83</v>
      </c>
      <c r="B39" s="22">
        <v>124.64</v>
      </c>
      <c r="C39" s="22">
        <v>122.42</v>
      </c>
      <c r="D39" s="1">
        <v>250.72</v>
      </c>
      <c r="E39" s="1">
        <f>'LBO VALUATION DRIVERS'!E59</f>
        <v>250.72</v>
      </c>
      <c r="F39" s="1">
        <f ca="1">E39+F86</f>
        <v>249.99999999999991</v>
      </c>
      <c r="G39" s="1">
        <f t="shared" ref="G39:O39" ca="1" si="30">F39+G86</f>
        <v>249.99999999999991</v>
      </c>
      <c r="H39" s="1">
        <f t="shared" ca="1" si="30"/>
        <v>249.99999999999991</v>
      </c>
      <c r="I39" s="1">
        <f t="shared" ca="1" si="30"/>
        <v>250.00000000000003</v>
      </c>
      <c r="J39" s="1">
        <f t="shared" ca="1" si="30"/>
        <v>250.00000000000003</v>
      </c>
      <c r="K39" s="1">
        <f t="shared" ca="1" si="30"/>
        <v>250.00000000000003</v>
      </c>
      <c r="L39" s="1">
        <f t="shared" ca="1" si="30"/>
        <v>250.00000000000003</v>
      </c>
      <c r="M39" s="1">
        <f t="shared" ca="1" si="30"/>
        <v>249.99999999999048</v>
      </c>
      <c r="N39" s="1">
        <f t="shared" ca="1" si="30"/>
        <v>601.26895324918314</v>
      </c>
      <c r="O39" s="1">
        <f t="shared" ca="1" si="30"/>
        <v>250.0000008040879</v>
      </c>
    </row>
    <row r="40" spans="1:15" x14ac:dyDescent="0.25">
      <c r="A40" t="s">
        <v>47</v>
      </c>
      <c r="B40" s="1">
        <v>1165.94</v>
      </c>
      <c r="C40" s="1">
        <v>1553.1</v>
      </c>
      <c r="D40" s="1">
        <v>2110.5100000000002</v>
      </c>
      <c r="E40" s="1">
        <f>'LBO VALUATION DRIVERS'!E60</f>
        <v>2110.5100000000002</v>
      </c>
      <c r="F40" s="28">
        <f>F91</f>
        <v>2490.4018000000001</v>
      </c>
      <c r="G40" s="28">
        <f t="shared" ref="G40:O40" si="31">G91</f>
        <v>2938.6741240000001</v>
      </c>
      <c r="H40" s="28">
        <f t="shared" si="31"/>
        <v>3467.63546632</v>
      </c>
      <c r="I40" s="28">
        <f t="shared" si="31"/>
        <v>4022.4571409312002</v>
      </c>
      <c r="J40" s="28">
        <f t="shared" si="31"/>
        <v>4666.0502834801919</v>
      </c>
      <c r="K40" s="28">
        <f t="shared" si="31"/>
        <v>5412.6183288370221</v>
      </c>
      <c r="L40" s="28">
        <f t="shared" si="31"/>
        <v>6170.3848948742061</v>
      </c>
      <c r="M40" s="28">
        <f t="shared" si="31"/>
        <v>7034.2387801565956</v>
      </c>
      <c r="N40" s="28">
        <f t="shared" si="31"/>
        <v>8019.0322093785207</v>
      </c>
      <c r="O40" s="28">
        <f t="shared" si="31"/>
        <v>9141.6967186915135</v>
      </c>
    </row>
    <row r="41" spans="1:15" x14ac:dyDescent="0.25">
      <c r="A41" t="s">
        <v>49</v>
      </c>
      <c r="B41" s="22">
        <v>2754.24</v>
      </c>
      <c r="C41" s="22">
        <v>2983.5</v>
      </c>
      <c r="D41" s="1">
        <v>3541.14</v>
      </c>
      <c r="E41" s="1">
        <f>'LBO VALUATION DRIVERS'!E61</f>
        <v>3541.14</v>
      </c>
      <c r="F41" s="28">
        <f>F92</f>
        <v>4178.5451999999987</v>
      </c>
      <c r="G41" s="28">
        <f t="shared" ref="G41:O41" si="32">G92</f>
        <v>4930.6833360000001</v>
      </c>
      <c r="H41" s="28">
        <f t="shared" si="32"/>
        <v>5818.2063364799988</v>
      </c>
      <c r="I41" s="28">
        <f t="shared" si="32"/>
        <v>6749.1193503167979</v>
      </c>
      <c r="J41" s="28">
        <f t="shared" si="32"/>
        <v>7828.978446367486</v>
      </c>
      <c r="K41" s="28">
        <f t="shared" si="32"/>
        <v>9081.6149977862842</v>
      </c>
      <c r="L41" s="28">
        <f t="shared" si="32"/>
        <v>10353.041097476364</v>
      </c>
      <c r="M41" s="28">
        <f t="shared" si="32"/>
        <v>11802.466851123057</v>
      </c>
      <c r="N41" s="28">
        <f t="shared" si="32"/>
        <v>13454.812210280284</v>
      </c>
      <c r="O41" s="28">
        <f t="shared" si="32"/>
        <v>15338.485919719526</v>
      </c>
    </row>
    <row r="42" spans="1:15" x14ac:dyDescent="0.25">
      <c r="A42" t="s">
        <v>8</v>
      </c>
      <c r="B42" s="1">
        <v>12.35</v>
      </c>
      <c r="C42" s="1">
        <v>53.62</v>
      </c>
      <c r="D42" s="1">
        <v>44.84</v>
      </c>
      <c r="E42" s="1">
        <f>'LBO VALUATION DRIVERS'!E62</f>
        <v>44.84</v>
      </c>
      <c r="F42" s="1">
        <f>F10*F19</f>
        <v>52.911200000000001</v>
      </c>
      <c r="G42" s="1">
        <f t="shared" ref="G42:O42" si="33">G10*G19</f>
        <v>62.435215999999997</v>
      </c>
      <c r="H42" s="1">
        <f t="shared" si="33"/>
        <v>73.673554879999998</v>
      </c>
      <c r="I42" s="1">
        <f t="shared" si="33"/>
        <v>85.461323660799991</v>
      </c>
      <c r="J42" s="1">
        <f t="shared" si="33"/>
        <v>99.135135446527983</v>
      </c>
      <c r="K42" s="1">
        <f t="shared" si="33"/>
        <v>114.99675711797246</v>
      </c>
      <c r="L42" s="1">
        <f t="shared" si="33"/>
        <v>131.09630311448862</v>
      </c>
      <c r="M42" s="1">
        <f t="shared" si="33"/>
        <v>149.44978555051705</v>
      </c>
      <c r="N42" s="1">
        <f t="shared" si="33"/>
        <v>170.37275552758945</v>
      </c>
      <c r="O42" s="1">
        <f t="shared" si="33"/>
        <v>194.22494130145199</v>
      </c>
    </row>
    <row r="43" spans="1:1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t="s">
        <v>84</v>
      </c>
      <c r="B44" s="1"/>
      <c r="C44" s="1"/>
      <c r="D44" s="1"/>
      <c r="E44" s="1">
        <f>'LBO VALUATION DRIVERS'!E64</f>
        <v>936.16250000000002</v>
      </c>
      <c r="F44" s="1">
        <f t="shared" ref="F44:O44" si="34">E44+F122</f>
        <v>842.54624999999999</v>
      </c>
      <c r="G44" s="1">
        <f t="shared" si="34"/>
        <v>748.93</v>
      </c>
      <c r="H44" s="1">
        <f t="shared" si="34"/>
        <v>655.31374999999991</v>
      </c>
      <c r="I44" s="1">
        <f t="shared" si="34"/>
        <v>561.69749999999988</v>
      </c>
      <c r="J44" s="1">
        <f t="shared" si="34"/>
        <v>468.08124999999984</v>
      </c>
      <c r="K44" s="1">
        <f t="shared" si="34"/>
        <v>374.4649999999998</v>
      </c>
      <c r="L44" s="1">
        <f t="shared" si="34"/>
        <v>280.84874999999977</v>
      </c>
      <c r="M44" s="1">
        <f t="shared" si="34"/>
        <v>187.23249999999976</v>
      </c>
      <c r="N44" s="1">
        <f t="shared" si="34"/>
        <v>93.616249999999752</v>
      </c>
      <c r="O44" s="1">
        <f t="shared" si="34"/>
        <v>-2.5579538487363607E-13</v>
      </c>
    </row>
    <row r="45" spans="1:15" x14ac:dyDescent="0.25">
      <c r="A45" t="s">
        <v>50</v>
      </c>
      <c r="B45" s="1">
        <v>1054.8</v>
      </c>
      <c r="C45" s="1">
        <v>1090.73</v>
      </c>
      <c r="D45" s="1">
        <v>1337.99</v>
      </c>
      <c r="E45" s="1">
        <f>'LBO VALUATION DRIVERS'!E65</f>
        <v>1337.99</v>
      </c>
      <c r="F45" s="1">
        <f>F111</f>
        <v>1702.1038368935058</v>
      </c>
      <c r="G45" s="1">
        <f t="shared" ref="G45:O45" si="35">G111</f>
        <v>2020.7196225179464</v>
      </c>
      <c r="H45" s="1">
        <f t="shared" si="35"/>
        <v>2265.6607701011085</v>
      </c>
      <c r="I45" s="1">
        <f t="shared" si="35"/>
        <v>2397.8029451313114</v>
      </c>
      <c r="J45" s="1">
        <f t="shared" si="35"/>
        <v>2374.7799830134782</v>
      </c>
      <c r="K45" s="1">
        <f t="shared" si="35"/>
        <v>2143.5562001794642</v>
      </c>
      <c r="L45" s="1">
        <f t="shared" si="35"/>
        <v>1646.8115404225346</v>
      </c>
      <c r="M45" s="1">
        <f t="shared" si="35"/>
        <v>814.73214434782039</v>
      </c>
      <c r="N45" s="1">
        <f t="shared" si="35"/>
        <v>-436.83951888242245</v>
      </c>
      <c r="O45" s="1">
        <f t="shared" si="35"/>
        <v>-2209.0525279086783</v>
      </c>
    </row>
    <row r="46" spans="1:15" x14ac:dyDescent="0.25">
      <c r="A46" t="s">
        <v>85</v>
      </c>
      <c r="B46" s="1">
        <v>3.04</v>
      </c>
      <c r="C46" s="1">
        <v>1.52</v>
      </c>
      <c r="D46" s="1">
        <v>0</v>
      </c>
      <c r="E46" s="1">
        <f>'LBO VALUATION DRIVERS'!E66</f>
        <v>19107.489999999998</v>
      </c>
      <c r="F46" s="1">
        <f>F116</f>
        <v>19107.489999999998</v>
      </c>
      <c r="G46" s="1">
        <f t="shared" ref="G46:O46" si="36">G116</f>
        <v>19107.489999999998</v>
      </c>
      <c r="H46" s="1">
        <f t="shared" si="36"/>
        <v>19107.489999999998</v>
      </c>
      <c r="I46" s="1">
        <f t="shared" si="36"/>
        <v>19107.489999999998</v>
      </c>
      <c r="J46" s="1">
        <f t="shared" si="36"/>
        <v>19107.489999999998</v>
      </c>
      <c r="K46" s="1">
        <f t="shared" si="36"/>
        <v>19107.489999999998</v>
      </c>
      <c r="L46" s="1">
        <f t="shared" si="36"/>
        <v>19107.489999999998</v>
      </c>
      <c r="M46" s="1">
        <f t="shared" si="36"/>
        <v>19107.489999999998</v>
      </c>
      <c r="N46" s="1">
        <f t="shared" si="36"/>
        <v>19107.489999999998</v>
      </c>
      <c r="O46" s="1">
        <f t="shared" si="36"/>
        <v>19107.489999999998</v>
      </c>
    </row>
    <row r="47" spans="1:15" x14ac:dyDescent="0.25">
      <c r="A47" t="s">
        <v>9</v>
      </c>
      <c r="B47" s="1">
        <v>1.1000000000000001</v>
      </c>
      <c r="C47" s="1">
        <v>37.119999999999997</v>
      </c>
      <c r="D47" s="1">
        <v>3.6</v>
      </c>
      <c r="E47" s="1">
        <f>'LBO VALUATION DRIVERS'!E67</f>
        <v>3.6</v>
      </c>
      <c r="F47" s="1">
        <f>F11*F19</f>
        <v>4.2479999999999993</v>
      </c>
      <c r="G47" s="1">
        <f t="shared" ref="G47:O47" si="37">G11*G19</f>
        <v>5.0126399999999993</v>
      </c>
      <c r="H47" s="1">
        <f t="shared" si="37"/>
        <v>5.9149151999999994</v>
      </c>
      <c r="I47" s="1">
        <f t="shared" si="37"/>
        <v>6.8613016319999991</v>
      </c>
      <c r="J47" s="1">
        <f t="shared" si="37"/>
        <v>7.9591098931199991</v>
      </c>
      <c r="K47" s="1">
        <f t="shared" si="37"/>
        <v>9.2325674760191987</v>
      </c>
      <c r="L47" s="1">
        <f t="shared" si="37"/>
        <v>10.525126922661887</v>
      </c>
      <c r="M47" s="1">
        <f t="shared" si="37"/>
        <v>11.998644691834553</v>
      </c>
      <c r="N47" s="1">
        <f t="shared" si="37"/>
        <v>13.678454948691392</v>
      </c>
      <c r="O47" s="1">
        <f t="shared" si="37"/>
        <v>15.593438641508188</v>
      </c>
    </row>
    <row r="48" spans="1:15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s="24" customFormat="1" x14ac:dyDescent="0.25">
      <c r="A49" s="24" t="s">
        <v>86</v>
      </c>
      <c r="B49" s="25">
        <f t="shared" ref="B49:C49" si="38">SUM(B39:B48)</f>
        <v>5116.1099999999997</v>
      </c>
      <c r="C49" s="25">
        <f t="shared" si="38"/>
        <v>5842.0100000000011</v>
      </c>
      <c r="D49" s="25">
        <f>SUM(D39:D48)</f>
        <v>7288.8</v>
      </c>
      <c r="E49" s="25">
        <f>'LBO VALUATION DRIVERS'!E69</f>
        <v>27332.452499999999</v>
      </c>
      <c r="F49" s="30">
        <f ca="1">SUM(F39:F48)</f>
        <v>28628.246286893504</v>
      </c>
      <c r="G49" s="30">
        <f t="shared" ref="G49:O49" ca="1" si="39">SUM(G39:G48)</f>
        <v>30063.944938517947</v>
      </c>
      <c r="H49" s="30">
        <f t="shared" ca="1" si="39"/>
        <v>31643.894792981104</v>
      </c>
      <c r="I49" s="30">
        <f t="shared" ca="1" si="39"/>
        <v>33180.889561672113</v>
      </c>
      <c r="J49" s="30">
        <f t="shared" ca="1" si="39"/>
        <v>34802.474208200802</v>
      </c>
      <c r="K49" s="30">
        <f t="shared" ca="1" si="39"/>
        <v>36493.97385139676</v>
      </c>
      <c r="L49" s="30">
        <f t="shared" ca="1" si="39"/>
        <v>37950.197712810259</v>
      </c>
      <c r="M49" s="30">
        <f t="shared" ca="1" si="39"/>
        <v>39357.608705869818</v>
      </c>
      <c r="N49" s="30">
        <f t="shared" ca="1" si="39"/>
        <v>41023.431314501846</v>
      </c>
      <c r="O49" s="30">
        <f t="shared" ca="1" si="39"/>
        <v>41838.438491249406</v>
      </c>
    </row>
    <row r="50" spans="1:15" x14ac:dyDescent="0.25">
      <c r="D50" s="1"/>
      <c r="E50" s="1">
        <f>'LBO VALUATION DRIVERS'!E70</f>
        <v>0</v>
      </c>
    </row>
    <row r="51" spans="1:15" x14ac:dyDescent="0.25">
      <c r="A51" t="s">
        <v>87</v>
      </c>
      <c r="B51" s="26">
        <v>723.24</v>
      </c>
      <c r="C51" s="26">
        <v>754.96</v>
      </c>
      <c r="D51" s="1">
        <v>1106.54</v>
      </c>
      <c r="E51" s="1">
        <f>'LBO VALUATION DRIVERS'!E71</f>
        <v>1106.54</v>
      </c>
      <c r="F51" s="28">
        <f>-F93</f>
        <v>1305.7171999999998</v>
      </c>
      <c r="G51" s="28">
        <f t="shared" ref="G51:O51" si="40">-G93</f>
        <v>1540.7462959999996</v>
      </c>
      <c r="H51" s="28">
        <f t="shared" si="40"/>
        <v>1818.08062928</v>
      </c>
      <c r="I51" s="28">
        <f t="shared" si="40"/>
        <v>2108.9735299647996</v>
      </c>
      <c r="J51" s="28">
        <f t="shared" si="40"/>
        <v>2446.4092947591676</v>
      </c>
      <c r="K51" s="28">
        <f t="shared" si="40"/>
        <v>2837.8347819206342</v>
      </c>
      <c r="L51" s="28">
        <f t="shared" si="40"/>
        <v>3235.1316513895231</v>
      </c>
      <c r="M51" s="28">
        <f t="shared" si="40"/>
        <v>3688.0500825840563</v>
      </c>
      <c r="N51" s="28">
        <f t="shared" si="40"/>
        <v>4204.3770941458251</v>
      </c>
      <c r="O51" s="28">
        <f t="shared" si="40"/>
        <v>4792.9898873262409</v>
      </c>
    </row>
    <row r="52" spans="1:15" x14ac:dyDescent="0.25">
      <c r="A52" t="s">
        <v>10</v>
      </c>
      <c r="B52" s="26">
        <v>369.97</v>
      </c>
      <c r="C52" s="26">
        <v>379.95</v>
      </c>
      <c r="D52" s="1">
        <v>493.35</v>
      </c>
      <c r="E52" s="1">
        <f>'LBO VALUATION DRIVERS'!E72</f>
        <v>493.35</v>
      </c>
      <c r="F52" s="28">
        <f>F12*F19</f>
        <v>582.15299999999991</v>
      </c>
      <c r="G52" s="28">
        <f t="shared" ref="G52:O52" si="41">G12*G19</f>
        <v>686.94053999999994</v>
      </c>
      <c r="H52" s="28">
        <f t="shared" si="41"/>
        <v>810.58983719999992</v>
      </c>
      <c r="I52" s="28">
        <f t="shared" si="41"/>
        <v>940.2842111519999</v>
      </c>
      <c r="J52" s="28">
        <f t="shared" si="41"/>
        <v>1090.7296849363197</v>
      </c>
      <c r="K52" s="28">
        <f t="shared" si="41"/>
        <v>1265.246434526131</v>
      </c>
      <c r="L52" s="28">
        <f t="shared" si="41"/>
        <v>1442.3809353597894</v>
      </c>
      <c r="M52" s="28">
        <f t="shared" si="41"/>
        <v>1644.3142663101601</v>
      </c>
      <c r="N52" s="28">
        <f t="shared" si="41"/>
        <v>1874.5182635935828</v>
      </c>
      <c r="O52" s="28">
        <f t="shared" si="41"/>
        <v>2136.9508204966846</v>
      </c>
    </row>
    <row r="53" spans="1:15" x14ac:dyDescent="0.25">
      <c r="B53" s="26"/>
      <c r="C53" s="26"/>
      <c r="D53" s="1"/>
      <c r="E53" s="1">
        <f>'LBO VALUATION DRIVERS'!E73</f>
        <v>0</v>
      </c>
      <c r="F53" s="28"/>
      <c r="G53" s="28"/>
      <c r="H53" s="28"/>
      <c r="I53" s="28"/>
      <c r="J53" s="28"/>
      <c r="K53" s="28"/>
      <c r="L53" s="28"/>
      <c r="M53" s="28"/>
      <c r="N53" s="28"/>
      <c r="O53" s="28"/>
    </row>
    <row r="54" spans="1:15" x14ac:dyDescent="0.25">
      <c r="A54" t="s">
        <v>88</v>
      </c>
      <c r="B54" s="26"/>
      <c r="C54" s="26"/>
      <c r="D54" s="1">
        <v>1607.16</v>
      </c>
      <c r="E54" s="1">
        <f>'LBO VALUATION DRIVERS'!E74</f>
        <v>20000</v>
      </c>
      <c r="F54" s="1">
        <f ca="1">F144+F149+F154+F170</f>
        <v>20369.253037224044</v>
      </c>
      <c r="G54" s="1">
        <f t="shared" ref="G54:O54" ca="1" si="42">G144+G149+G154+G170</f>
        <v>20715.565755037409</v>
      </c>
      <c r="H54" s="1">
        <f t="shared" ca="1" si="42"/>
        <v>20938.305561888192</v>
      </c>
      <c r="I54" s="1">
        <f t="shared" ca="1" si="42"/>
        <v>20978.238367407939</v>
      </c>
      <c r="J54" s="1">
        <f t="shared" ca="1" si="42"/>
        <v>20812.980536457333</v>
      </c>
      <c r="K54" s="1">
        <f t="shared" ca="1" si="42"/>
        <v>20391.650637992119</v>
      </c>
      <c r="L54" s="1">
        <f t="shared" ca="1" si="42"/>
        <v>19504.792351236389</v>
      </c>
      <c r="M54" s="1">
        <f t="shared" ca="1" si="42"/>
        <v>18565.387054755338</v>
      </c>
      <c r="N54" s="1">
        <f t="shared" ca="1" si="42"/>
        <v>17241.021531380567</v>
      </c>
      <c r="O54" s="1">
        <f t="shared" ca="1" si="42"/>
        <v>14724.444695874809</v>
      </c>
    </row>
    <row r="55" spans="1:15" x14ac:dyDescent="0.25">
      <c r="A55" t="s">
        <v>11</v>
      </c>
      <c r="B55" s="26">
        <v>1104.17</v>
      </c>
      <c r="C55" s="26">
        <v>1303.23</v>
      </c>
      <c r="D55" s="1">
        <v>276.74</v>
      </c>
      <c r="E55" s="1">
        <f>'LBO VALUATION DRIVERS'!E75</f>
        <v>276.74</v>
      </c>
      <c r="F55" s="28">
        <f>F13*F19</f>
        <v>326.5532</v>
      </c>
      <c r="G55" s="28">
        <f t="shared" ref="G55:O55" si="43">G13*G19</f>
        <v>385.33277599999997</v>
      </c>
      <c r="H55" s="28">
        <f t="shared" si="43"/>
        <v>454.69267567999998</v>
      </c>
      <c r="I55" s="28">
        <f t="shared" si="43"/>
        <v>527.44350378879994</v>
      </c>
      <c r="J55" s="28">
        <f t="shared" si="43"/>
        <v>611.8344643950079</v>
      </c>
      <c r="K55" s="28">
        <f t="shared" si="43"/>
        <v>709.7279786982092</v>
      </c>
      <c r="L55" s="28">
        <f t="shared" si="43"/>
        <v>809.08989571595851</v>
      </c>
      <c r="M55" s="28">
        <f t="shared" si="43"/>
        <v>922.36248111619284</v>
      </c>
      <c r="N55" s="28">
        <f t="shared" si="43"/>
        <v>1051.49322847246</v>
      </c>
      <c r="O55" s="28">
        <f t="shared" si="43"/>
        <v>1198.7022804586045</v>
      </c>
    </row>
    <row r="56" spans="1:15" x14ac:dyDescent="0.25">
      <c r="B56" s="26">
        <v>214.27</v>
      </c>
      <c r="C56" s="26">
        <v>235.92</v>
      </c>
      <c r="D56" s="1"/>
      <c r="E56" s="1">
        <f>'LBO VALUATION DRIVERS'!E76</f>
        <v>0</v>
      </c>
    </row>
    <row r="57" spans="1:15" x14ac:dyDescent="0.25">
      <c r="A57" t="s">
        <v>89</v>
      </c>
      <c r="B57" s="1">
        <v>2704.46</v>
      </c>
      <c r="C57" s="1">
        <v>3167.95</v>
      </c>
      <c r="D57" s="1">
        <v>3805.01</v>
      </c>
      <c r="E57" s="1">
        <f>'LBO VALUATION DRIVERS'!E77</f>
        <v>5455.8224999999984</v>
      </c>
      <c r="F57" s="28">
        <f ca="1">F181</f>
        <v>6044.5698496694595</v>
      </c>
      <c r="G57" s="28">
        <f t="shared" ref="G57:O57" ca="1" si="44">G181</f>
        <v>6735.3595714805379</v>
      </c>
      <c r="H57" s="28">
        <f t="shared" ca="1" si="44"/>
        <v>7622.2260889329136</v>
      </c>
      <c r="I57" s="28">
        <f t="shared" ca="1" si="44"/>
        <v>8625.9499493585699</v>
      </c>
      <c r="J57" s="28">
        <f t="shared" ca="1" si="44"/>
        <v>9840.5202276529762</v>
      </c>
      <c r="K57" s="28">
        <f t="shared" ca="1" si="44"/>
        <v>11289.51401825967</v>
      </c>
      <c r="L57" s="28">
        <f t="shared" ca="1" si="44"/>
        <v>12958.802879108594</v>
      </c>
      <c r="M57" s="28">
        <f t="shared" ca="1" si="44"/>
        <v>14537.494821104076</v>
      </c>
      <c r="N57" s="28">
        <f t="shared" ca="1" si="44"/>
        <v>16652.021196910846</v>
      </c>
      <c r="O57" s="28">
        <f t="shared" ca="1" si="44"/>
        <v>18985.350806313712</v>
      </c>
    </row>
    <row r="58" spans="1:15" x14ac:dyDescent="0.25">
      <c r="D58" s="1"/>
      <c r="E58" s="1">
        <f>'LBO VALUATION DRIVERS'!E78</f>
        <v>0</v>
      </c>
    </row>
    <row r="59" spans="1:15" s="24" customFormat="1" x14ac:dyDescent="0.25">
      <c r="A59" s="24" t="s">
        <v>90</v>
      </c>
      <c r="B59" s="27">
        <f>SUM(B51:B57)</f>
        <v>5116.1100000000006</v>
      </c>
      <c r="C59" s="27">
        <f>SUM(C51:C57)</f>
        <v>5842.01</v>
      </c>
      <c r="D59" s="25">
        <f>SUM(D51:D58)</f>
        <v>7288.8</v>
      </c>
      <c r="E59" s="25">
        <f>'LBO VALUATION DRIVERS'!E79</f>
        <v>27332.452499999999</v>
      </c>
      <c r="F59" s="30">
        <f ca="1">SUM(F51:F58)</f>
        <v>28628.246286893504</v>
      </c>
      <c r="G59" s="30">
        <f t="shared" ref="G59:O59" ca="1" si="45">SUM(G51:G58)</f>
        <v>30063.944938517947</v>
      </c>
      <c r="H59" s="30">
        <f t="shared" ca="1" si="45"/>
        <v>31643.894792981104</v>
      </c>
      <c r="I59" s="30">
        <f t="shared" ca="1" si="45"/>
        <v>33180.889561672106</v>
      </c>
      <c r="J59" s="30">
        <f t="shared" ca="1" si="45"/>
        <v>34802.474208200802</v>
      </c>
      <c r="K59" s="30">
        <f t="shared" ca="1" si="45"/>
        <v>36493.97385139676</v>
      </c>
      <c r="L59" s="30">
        <f t="shared" ca="1" si="45"/>
        <v>37950.197712810252</v>
      </c>
      <c r="M59" s="30">
        <f t="shared" ca="1" si="45"/>
        <v>39357.608705869825</v>
      </c>
      <c r="N59" s="30">
        <f t="shared" ca="1" si="45"/>
        <v>41023.431314503279</v>
      </c>
      <c r="O59" s="30">
        <f t="shared" ca="1" si="45"/>
        <v>41838.438490470056</v>
      </c>
    </row>
    <row r="61" spans="1:15" x14ac:dyDescent="0.25">
      <c r="A61" s="2" t="s">
        <v>97</v>
      </c>
      <c r="B61" s="28">
        <f>B49-B59</f>
        <v>0</v>
      </c>
      <c r="C61" s="28">
        <f t="shared" ref="C61:O61" si="46">C49-C59</f>
        <v>0</v>
      </c>
      <c r="D61" s="28">
        <f t="shared" si="46"/>
        <v>0</v>
      </c>
      <c r="E61" s="28">
        <f t="shared" si="46"/>
        <v>0</v>
      </c>
      <c r="F61" s="28">
        <f t="shared" ca="1" si="46"/>
        <v>0</v>
      </c>
      <c r="G61" s="28">
        <f t="shared" ca="1" si="46"/>
        <v>0</v>
      </c>
      <c r="H61" s="28">
        <f t="shared" ca="1" si="46"/>
        <v>0</v>
      </c>
      <c r="I61" s="28">
        <f t="shared" ca="1" si="46"/>
        <v>0</v>
      </c>
      <c r="J61" s="28">
        <f t="shared" ca="1" si="46"/>
        <v>0</v>
      </c>
      <c r="K61" s="28">
        <f t="shared" ca="1" si="46"/>
        <v>0</v>
      </c>
      <c r="L61" s="28">
        <f t="shared" ca="1" si="46"/>
        <v>0</v>
      </c>
      <c r="M61" s="28">
        <f t="shared" ca="1" si="46"/>
        <v>0</v>
      </c>
      <c r="N61" s="28">
        <f t="shared" ca="1" si="46"/>
        <v>-1.4333636499941349E-9</v>
      </c>
      <c r="O61" s="28">
        <f t="shared" ca="1" si="46"/>
        <v>7.793496479280293E-7</v>
      </c>
    </row>
    <row r="64" spans="1:15" ht="15.75" x14ac:dyDescent="0.25">
      <c r="A64" s="9" t="s">
        <v>98</v>
      </c>
      <c r="B64" s="4"/>
      <c r="C64" s="4"/>
      <c r="D64" s="4"/>
      <c r="E64" s="4"/>
      <c r="F64" s="4"/>
      <c r="G64" s="4"/>
    </row>
    <row r="65" spans="1:15" x14ac:dyDescent="0.25">
      <c r="A65" t="s">
        <v>14</v>
      </c>
      <c r="B65" s="38" t="s">
        <v>176</v>
      </c>
      <c r="C65" s="38" t="s">
        <v>177</v>
      </c>
      <c r="D65" s="38" t="s">
        <v>178</v>
      </c>
      <c r="E65" s="38"/>
      <c r="F65" s="39" t="s">
        <v>179</v>
      </c>
      <c r="G65" s="39" t="s">
        <v>180</v>
      </c>
      <c r="H65" s="39" t="s">
        <v>181</v>
      </c>
      <c r="I65" s="39" t="s">
        <v>182</v>
      </c>
      <c r="J65" s="39" t="s">
        <v>183</v>
      </c>
      <c r="K65" s="39" t="s">
        <v>184</v>
      </c>
      <c r="L65" s="39" t="s">
        <v>185</v>
      </c>
      <c r="M65" s="39" t="s">
        <v>186</v>
      </c>
      <c r="N65" s="39" t="s">
        <v>187</v>
      </c>
      <c r="O65" s="39" t="s">
        <v>188</v>
      </c>
    </row>
    <row r="66" spans="1:15" x14ac:dyDescent="0.25">
      <c r="A66" t="s">
        <v>25</v>
      </c>
      <c r="B66" s="1">
        <f>B34</f>
        <v>786.31000000000017</v>
      </c>
      <c r="C66" s="1">
        <f t="shared" ref="C66:D66" si="47">C34</f>
        <v>789.97999999999979</v>
      </c>
      <c r="D66" s="1">
        <f t="shared" si="47"/>
        <v>1065.1799999999992</v>
      </c>
      <c r="F66" s="28">
        <f ca="1">F34</f>
        <v>588.74734966946119</v>
      </c>
      <c r="G66" s="28">
        <f t="shared" ref="G66:O66" ca="1" si="48">G34</f>
        <v>690.78972181107838</v>
      </c>
      <c r="H66" s="28">
        <f t="shared" ca="1" si="48"/>
        <v>886.86651745237623</v>
      </c>
      <c r="I66" s="28">
        <f t="shared" ca="1" si="48"/>
        <v>1003.7238604256556</v>
      </c>
      <c r="J66" s="28">
        <f t="shared" ca="1" si="48"/>
        <v>1214.5702782944065</v>
      </c>
      <c r="K66" s="28">
        <f t="shared" ca="1" si="48"/>
        <v>1448.993790606693</v>
      </c>
      <c r="L66" s="28">
        <f t="shared" ca="1" si="48"/>
        <v>1669.2888608489247</v>
      </c>
      <c r="M66" s="28">
        <f t="shared" ca="1" si="48"/>
        <v>1578.6919419954809</v>
      </c>
      <c r="N66" s="28">
        <f t="shared" ca="1" si="48"/>
        <v>2114.5263758067094</v>
      </c>
      <c r="O66" s="28">
        <f t="shared" ca="1" si="48"/>
        <v>2333.3296094327561</v>
      </c>
    </row>
    <row r="67" spans="1:15" x14ac:dyDescent="0.25">
      <c r="A67" t="s">
        <v>99</v>
      </c>
      <c r="F67" s="28">
        <f t="shared" ref="F67:O67" si="49">-(F110+F122)</f>
        <v>187.71670924567474</v>
      </c>
      <c r="G67" s="28">
        <f t="shared" si="49"/>
        <v>315.69333381979237</v>
      </c>
      <c r="H67" s="28">
        <f t="shared" si="49"/>
        <v>486.69268836103254</v>
      </c>
      <c r="I67" s="28">
        <f t="shared" si="49"/>
        <v>701.57447466506358</v>
      </c>
      <c r="J67" s="28">
        <f t="shared" si="49"/>
        <v>975.15567576434216</v>
      </c>
      <c r="K67" s="28">
        <f t="shared" si="49"/>
        <v>1320.7191306639643</v>
      </c>
      <c r="L67" s="28">
        <f t="shared" si="49"/>
        <v>1725.6630812830726</v>
      </c>
      <c r="M67" s="28">
        <f t="shared" si="49"/>
        <v>2219.9401216145175</v>
      </c>
      <c r="N67" s="28">
        <f t="shared" si="49"/>
        <v>2820.626615345619</v>
      </c>
      <c r="O67" s="28">
        <f t="shared" si="49"/>
        <v>3547.8293794377846</v>
      </c>
    </row>
    <row r="68" spans="1:15" x14ac:dyDescent="0.25">
      <c r="A68" t="s">
        <v>100</v>
      </c>
      <c r="B68" s="3"/>
      <c r="C68" s="3">
        <f>-(C94-B94)</f>
        <v>-584.70000000000073</v>
      </c>
      <c r="D68" s="3">
        <f>-(D94-C94)</f>
        <v>-763.46999999999935</v>
      </c>
      <c r="F68" s="28">
        <f>-(F94-E94)</f>
        <v>-818.11979999999858</v>
      </c>
      <c r="G68" s="28">
        <f t="shared" ref="G68:O68" si="50">-(G94-F94)</f>
        <v>-965.38136400000258</v>
      </c>
      <c r="H68" s="28">
        <f t="shared" si="50"/>
        <v>-1139.1500095199972</v>
      </c>
      <c r="I68" s="28">
        <f t="shared" si="50"/>
        <v>-1194.8417877631991</v>
      </c>
      <c r="J68" s="28">
        <f t="shared" si="50"/>
        <v>-1386.0164738053136</v>
      </c>
      <c r="K68" s="28">
        <f t="shared" si="50"/>
        <v>-1607.7791096141627</v>
      </c>
      <c r="L68" s="28">
        <f t="shared" si="50"/>
        <v>-1631.8957962583736</v>
      </c>
      <c r="M68" s="28">
        <f t="shared" si="50"/>
        <v>-1860.3612077345479</v>
      </c>
      <c r="N68" s="28">
        <f t="shared" si="50"/>
        <v>-2120.811776817387</v>
      </c>
      <c r="O68" s="28">
        <f t="shared" si="50"/>
        <v>-2417.7254255718144</v>
      </c>
    </row>
    <row r="69" spans="1:15" x14ac:dyDescent="0.25">
      <c r="A69" t="s">
        <v>8</v>
      </c>
      <c r="C69" s="28">
        <f>-(C42-B42)</f>
        <v>-41.269999999999996</v>
      </c>
      <c r="D69" s="28">
        <f t="shared" ref="D69:O69" si="51">-(D42-C42)</f>
        <v>8.779999999999994</v>
      </c>
      <c r="E69" s="28"/>
      <c r="F69" s="28">
        <f t="shared" si="51"/>
        <v>-8.0711999999999975</v>
      </c>
      <c r="G69" s="28">
        <f t="shared" si="51"/>
        <v>-9.524015999999996</v>
      </c>
      <c r="H69" s="28">
        <f t="shared" si="51"/>
        <v>-11.238338880000001</v>
      </c>
      <c r="I69" s="28">
        <f t="shared" si="51"/>
        <v>-11.787768780799993</v>
      </c>
      <c r="J69" s="28">
        <f t="shared" si="51"/>
        <v>-13.673811785727992</v>
      </c>
      <c r="K69" s="28">
        <f t="shared" si="51"/>
        <v>-15.861621671444482</v>
      </c>
      <c r="L69" s="28">
        <f t="shared" si="51"/>
        <v>-16.099545996516156</v>
      </c>
      <c r="M69" s="28">
        <f t="shared" si="51"/>
        <v>-18.353482436028429</v>
      </c>
      <c r="N69" s="28">
        <f t="shared" si="51"/>
        <v>-20.922969977072398</v>
      </c>
      <c r="O69" s="28">
        <f t="shared" si="51"/>
        <v>-23.852185773862544</v>
      </c>
    </row>
    <row r="70" spans="1:15" x14ac:dyDescent="0.25">
      <c r="A70" t="s">
        <v>10</v>
      </c>
      <c r="C70" s="26">
        <f>C52-B52</f>
        <v>9.9799999999999613</v>
      </c>
      <c r="D70" s="26">
        <f t="shared" ref="D70:O70" si="52">D52-C52</f>
        <v>113.40000000000003</v>
      </c>
      <c r="E70" s="26"/>
      <c r="F70" s="26">
        <f t="shared" si="52"/>
        <v>88.802999999999884</v>
      </c>
      <c r="G70" s="26">
        <f t="shared" si="52"/>
        <v>104.78754000000004</v>
      </c>
      <c r="H70" s="26">
        <f t="shared" si="52"/>
        <v>123.64929719999998</v>
      </c>
      <c r="I70" s="26">
        <f t="shared" si="52"/>
        <v>129.69437395199998</v>
      </c>
      <c r="J70" s="26">
        <f t="shared" si="52"/>
        <v>150.4454737843198</v>
      </c>
      <c r="K70" s="26">
        <f t="shared" si="52"/>
        <v>174.5167495898113</v>
      </c>
      <c r="L70" s="26">
        <f t="shared" si="52"/>
        <v>177.13450083365842</v>
      </c>
      <c r="M70" s="26">
        <f t="shared" si="52"/>
        <v>201.93333095037065</v>
      </c>
      <c r="N70" s="26">
        <f t="shared" si="52"/>
        <v>230.20399728342272</v>
      </c>
      <c r="O70" s="26">
        <f t="shared" si="52"/>
        <v>262.43255690310184</v>
      </c>
    </row>
    <row r="71" spans="1:15" x14ac:dyDescent="0.25">
      <c r="A71" t="s">
        <v>9</v>
      </c>
      <c r="C71" s="28">
        <f>-(C47-B47)</f>
        <v>-36.019999999999996</v>
      </c>
      <c r="D71" s="28">
        <f t="shared" ref="D71:O71" si="53">-(D47-C47)</f>
        <v>33.519999999999996</v>
      </c>
      <c r="E71" s="28"/>
      <c r="F71" s="28">
        <f t="shared" si="53"/>
        <v>-0.64799999999999924</v>
      </c>
      <c r="G71" s="28">
        <f t="shared" si="53"/>
        <v>-0.76463999999999999</v>
      </c>
      <c r="H71" s="28">
        <f t="shared" si="53"/>
        <v>-0.90227520000000005</v>
      </c>
      <c r="I71" s="28">
        <f t="shared" si="53"/>
        <v>-0.94638643199999972</v>
      </c>
      <c r="J71" s="28">
        <f t="shared" si="53"/>
        <v>-1.09780826112</v>
      </c>
      <c r="K71" s="28">
        <f t="shared" si="53"/>
        <v>-1.2734575828991996</v>
      </c>
      <c r="L71" s="28">
        <f t="shared" si="53"/>
        <v>-1.292559446642688</v>
      </c>
      <c r="M71" s="28">
        <f t="shared" si="53"/>
        <v>-1.4735177691726662</v>
      </c>
      <c r="N71" s="28">
        <f t="shared" si="53"/>
        <v>-1.6798102568568396</v>
      </c>
      <c r="O71" s="28">
        <f t="shared" si="53"/>
        <v>-1.9149836928167954</v>
      </c>
    </row>
    <row r="72" spans="1:15" x14ac:dyDescent="0.25">
      <c r="A72" t="s">
        <v>11</v>
      </c>
      <c r="C72" s="26">
        <f>C55-B55</f>
        <v>199.05999999999995</v>
      </c>
      <c r="D72" s="1">
        <f t="shared" ref="D72:O72" si="54">D55-C55</f>
        <v>-1026.49</v>
      </c>
      <c r="E72" s="26"/>
      <c r="F72" s="26">
        <f t="shared" si="54"/>
        <v>49.813199999999995</v>
      </c>
      <c r="G72" s="26">
        <f t="shared" si="54"/>
        <v>58.779575999999963</v>
      </c>
      <c r="H72" s="26">
        <f t="shared" si="54"/>
        <v>69.359899680000012</v>
      </c>
      <c r="I72" s="26">
        <f t="shared" si="54"/>
        <v>72.750828108799965</v>
      </c>
      <c r="J72" s="26">
        <f t="shared" si="54"/>
        <v>84.390960606207955</v>
      </c>
      <c r="K72" s="26">
        <f t="shared" si="54"/>
        <v>97.8935143032013</v>
      </c>
      <c r="L72" s="26">
        <f t="shared" si="54"/>
        <v>99.361917017749306</v>
      </c>
      <c r="M72" s="26">
        <f t="shared" si="54"/>
        <v>113.27258540023433</v>
      </c>
      <c r="N72" s="26">
        <f t="shared" si="54"/>
        <v>129.13074735626719</v>
      </c>
      <c r="O72" s="26">
        <f t="shared" si="54"/>
        <v>147.20905198614446</v>
      </c>
    </row>
    <row r="73" spans="1:15" s="2" customFormat="1" x14ac:dyDescent="0.25">
      <c r="A73" s="2" t="s">
        <v>101</v>
      </c>
      <c r="C73" s="31">
        <f>SUM(C66:C72)</f>
        <v>337.02999999999901</v>
      </c>
      <c r="D73" s="31">
        <f>SUM(D66:D72)</f>
        <v>-569.08000000000015</v>
      </c>
      <c r="F73" s="21">
        <f ca="1">SUM(F66:F72)</f>
        <v>88.241258915137166</v>
      </c>
      <c r="G73" s="21">
        <f t="shared" ref="G73:O73" ca="1" si="55">SUM(G66:G72)</f>
        <v>194.38015163086811</v>
      </c>
      <c r="H73" s="21">
        <f t="shared" ca="1" si="55"/>
        <v>415.27777909341165</v>
      </c>
      <c r="I73" s="21">
        <f t="shared" ca="1" si="55"/>
        <v>700.16759417552009</v>
      </c>
      <c r="J73" s="21">
        <f t="shared" ca="1" si="55"/>
        <v>1023.7742945971149</v>
      </c>
      <c r="K73" s="21">
        <f t="shared" ca="1" si="55"/>
        <v>1417.2089962951634</v>
      </c>
      <c r="L73" s="21">
        <f t="shared" ca="1" si="55"/>
        <v>2022.1604582818727</v>
      </c>
      <c r="M73" s="21">
        <f t="shared" ca="1" si="55"/>
        <v>2233.649772020854</v>
      </c>
      <c r="N73" s="21">
        <f t="shared" ca="1" si="55"/>
        <v>3151.0731787407021</v>
      </c>
      <c r="O73" s="21">
        <f t="shared" ca="1" si="55"/>
        <v>3847.3080027212927</v>
      </c>
    </row>
    <row r="75" spans="1:15" x14ac:dyDescent="0.25">
      <c r="A75" t="s">
        <v>102</v>
      </c>
      <c r="B75" s="1">
        <v>-250.88</v>
      </c>
      <c r="C75" s="1">
        <v>-271.69</v>
      </c>
      <c r="D75" s="1">
        <v>-396.79</v>
      </c>
      <c r="F75" s="28">
        <f>-F109</f>
        <v>-458.21429613918053</v>
      </c>
      <c r="G75" s="28">
        <f t="shared" ref="G75:O75" si="56">-G109</f>
        <v>-540.692869444233</v>
      </c>
      <c r="H75" s="28">
        <f t="shared" si="56"/>
        <v>-638.01758594419493</v>
      </c>
      <c r="I75" s="28">
        <f t="shared" si="56"/>
        <v>-740.10039969526611</v>
      </c>
      <c r="J75" s="28">
        <f t="shared" si="56"/>
        <v>-858.51646364650867</v>
      </c>
      <c r="K75" s="28">
        <f t="shared" si="56"/>
        <v>-995.87909782995007</v>
      </c>
      <c r="L75" s="28">
        <f t="shared" si="56"/>
        <v>-1135.3021715261432</v>
      </c>
      <c r="M75" s="28">
        <f t="shared" si="56"/>
        <v>-1294.2444755398033</v>
      </c>
      <c r="N75" s="28">
        <f t="shared" si="56"/>
        <v>-1475.4387021153761</v>
      </c>
      <c r="O75" s="28">
        <f t="shared" si="56"/>
        <v>-1682.0001204115288</v>
      </c>
    </row>
    <row r="76" spans="1:15" s="2" customFormat="1" x14ac:dyDescent="0.25">
      <c r="A76" s="2" t="s">
        <v>103</v>
      </c>
      <c r="B76" s="31">
        <f>B75</f>
        <v>-250.88</v>
      </c>
      <c r="C76" s="31">
        <f>C75</f>
        <v>-271.69</v>
      </c>
      <c r="D76" s="31">
        <f>D75</f>
        <v>-396.79</v>
      </c>
      <c r="F76" s="31">
        <f>F75</f>
        <v>-458.21429613918053</v>
      </c>
      <c r="G76" s="31">
        <f t="shared" ref="G76:O76" si="57">G75</f>
        <v>-540.692869444233</v>
      </c>
      <c r="H76" s="31">
        <f t="shared" si="57"/>
        <v>-638.01758594419493</v>
      </c>
      <c r="I76" s="31">
        <f t="shared" si="57"/>
        <v>-740.10039969526611</v>
      </c>
      <c r="J76" s="31">
        <f t="shared" si="57"/>
        <v>-858.51646364650867</v>
      </c>
      <c r="K76" s="31">
        <f t="shared" si="57"/>
        <v>-995.87909782995007</v>
      </c>
      <c r="L76" s="31">
        <f t="shared" si="57"/>
        <v>-1135.3021715261432</v>
      </c>
      <c r="M76" s="31">
        <f t="shared" si="57"/>
        <v>-1294.2444755398033</v>
      </c>
      <c r="N76" s="31">
        <f t="shared" si="57"/>
        <v>-1475.4387021153761</v>
      </c>
      <c r="O76" s="31">
        <f t="shared" si="57"/>
        <v>-1682.0001204115288</v>
      </c>
    </row>
    <row r="78" spans="1:15" x14ac:dyDescent="0.25">
      <c r="A78" s="2" t="s">
        <v>104</v>
      </c>
      <c r="F78" s="28">
        <f ca="1">F168</f>
        <v>1269.2530372240433</v>
      </c>
      <c r="G78" s="28">
        <f t="shared" ref="G78:O78" ca="1" si="58">G168</f>
        <v>1246.312717813365</v>
      </c>
      <c r="H78" s="28">
        <f t="shared" ca="1" si="58"/>
        <v>1122.7398068507832</v>
      </c>
      <c r="I78" s="28">
        <f t="shared" ca="1" si="58"/>
        <v>939.93280551974613</v>
      </c>
      <c r="J78" s="28">
        <f t="shared" ca="1" si="58"/>
        <v>734.74216904939374</v>
      </c>
      <c r="K78" s="28">
        <f t="shared" ca="1" si="58"/>
        <v>478.67010153478668</v>
      </c>
      <c r="L78" s="28">
        <f t="shared" ca="1" si="58"/>
        <v>13.141713244270449</v>
      </c>
      <c r="M78" s="28">
        <f t="shared" ca="1" si="58"/>
        <v>7960.5947035189492</v>
      </c>
      <c r="N78" s="28">
        <f t="shared" ca="1" si="58"/>
        <v>175.6344766252314</v>
      </c>
      <c r="O78" s="28">
        <f t="shared" ca="1" si="58"/>
        <v>783.42316449423834</v>
      </c>
    </row>
    <row r="79" spans="1:15" x14ac:dyDescent="0.25">
      <c r="A79" t="s">
        <v>105</v>
      </c>
    </row>
    <row r="80" spans="1:15" x14ac:dyDescent="0.25">
      <c r="A80" t="s">
        <v>106</v>
      </c>
      <c r="F80" s="28">
        <f>F143+F148+F153</f>
        <v>-900</v>
      </c>
      <c r="G80" s="28">
        <f t="shared" ref="G80:O80" si="59">G143+G148+G153</f>
        <v>-900</v>
      </c>
      <c r="H80" s="28">
        <f t="shared" si="59"/>
        <v>-900</v>
      </c>
      <c r="I80" s="28">
        <f t="shared" si="59"/>
        <v>-900</v>
      </c>
      <c r="J80" s="28">
        <f t="shared" si="59"/>
        <v>-900</v>
      </c>
      <c r="K80" s="28">
        <f t="shared" si="59"/>
        <v>-900</v>
      </c>
      <c r="L80" s="28">
        <f t="shared" si="59"/>
        <v>-900</v>
      </c>
      <c r="M80" s="28">
        <f t="shared" si="59"/>
        <v>-8900</v>
      </c>
      <c r="N80" s="28">
        <f t="shared" si="59"/>
        <v>-1500</v>
      </c>
      <c r="O80" s="28">
        <f t="shared" si="59"/>
        <v>-3300</v>
      </c>
    </row>
    <row r="81" spans="1:15" x14ac:dyDescent="0.25">
      <c r="A81" t="s">
        <v>107</v>
      </c>
    </row>
    <row r="82" spans="1:15" x14ac:dyDescent="0.25">
      <c r="A82" t="s">
        <v>108</v>
      </c>
    </row>
    <row r="83" spans="1:15" x14ac:dyDescent="0.25">
      <c r="A83" t="s">
        <v>109</v>
      </c>
    </row>
    <row r="84" spans="1:15" s="2" customFormat="1" x14ac:dyDescent="0.25">
      <c r="A84" s="2" t="s">
        <v>110</v>
      </c>
      <c r="F84" s="21">
        <f ca="1">SUM(F78:F83)</f>
        <v>369.25303722404328</v>
      </c>
      <c r="G84" s="21">
        <f t="shared" ref="G84:O84" ca="1" si="60">SUM(G78:G83)</f>
        <v>346.312717813365</v>
      </c>
      <c r="H84" s="21">
        <f t="shared" ca="1" si="60"/>
        <v>222.73980685078322</v>
      </c>
      <c r="I84" s="21">
        <f t="shared" ca="1" si="60"/>
        <v>39.932805519746125</v>
      </c>
      <c r="J84" s="21">
        <f t="shared" ca="1" si="60"/>
        <v>-165.25783095060626</v>
      </c>
      <c r="K84" s="21">
        <f t="shared" ca="1" si="60"/>
        <v>-421.32989846521332</v>
      </c>
      <c r="L84" s="21">
        <f t="shared" ca="1" si="60"/>
        <v>-886.85828675572952</v>
      </c>
      <c r="M84" s="21">
        <f t="shared" ca="1" si="60"/>
        <v>-939.40529648105075</v>
      </c>
      <c r="N84" s="21">
        <f t="shared" ca="1" si="60"/>
        <v>-1324.3655233747686</v>
      </c>
      <c r="O84" s="21">
        <f t="shared" ca="1" si="60"/>
        <v>-2516.5768355057617</v>
      </c>
    </row>
    <row r="86" spans="1:15" s="2" customFormat="1" x14ac:dyDescent="0.25">
      <c r="A86" s="2" t="s">
        <v>111</v>
      </c>
      <c r="F86" s="31">
        <f ca="1">F73+F76+F84</f>
        <v>-0.72000000000008413</v>
      </c>
      <c r="G86" s="31">
        <f t="shared" ref="G86:O86" ca="1" si="61">G73+G76+G84</f>
        <v>0</v>
      </c>
      <c r="H86" s="31">
        <f t="shared" ca="1" si="61"/>
        <v>0</v>
      </c>
      <c r="I86" s="21">
        <f t="shared" ca="1" si="61"/>
        <v>1.1368683772161603E-13</v>
      </c>
      <c r="J86" s="31">
        <f t="shared" ca="1" si="61"/>
        <v>0</v>
      </c>
      <c r="K86" s="31">
        <f t="shared" ca="1" si="61"/>
        <v>0</v>
      </c>
      <c r="L86" s="31">
        <f t="shared" ca="1" si="61"/>
        <v>0</v>
      </c>
      <c r="M86" s="31">
        <f t="shared" ca="1" si="61"/>
        <v>0</v>
      </c>
      <c r="N86" s="31">
        <f t="shared" ca="1" si="61"/>
        <v>351.26895325055739</v>
      </c>
      <c r="O86" s="31">
        <f t="shared" ca="1" si="61"/>
        <v>-351.26895319599771</v>
      </c>
    </row>
    <row r="89" spans="1:15" ht="15.75" x14ac:dyDescent="0.25">
      <c r="A89" s="9" t="s">
        <v>112</v>
      </c>
      <c r="B89" s="4"/>
      <c r="C89" s="4"/>
      <c r="D89" s="4"/>
      <c r="E89" s="4"/>
      <c r="F89" s="4"/>
      <c r="G89" s="4"/>
    </row>
    <row r="90" spans="1:15" x14ac:dyDescent="0.25">
      <c r="A90" t="s">
        <v>14</v>
      </c>
      <c r="B90" s="38" t="s">
        <v>176</v>
      </c>
      <c r="C90" s="38" t="s">
        <v>177</v>
      </c>
      <c r="D90" s="38" t="s">
        <v>178</v>
      </c>
      <c r="E90" s="38"/>
      <c r="F90" s="39" t="s">
        <v>179</v>
      </c>
      <c r="G90" s="39" t="s">
        <v>180</v>
      </c>
      <c r="H90" s="39" t="s">
        <v>181</v>
      </c>
      <c r="I90" s="39" t="s">
        <v>182</v>
      </c>
      <c r="J90" s="39" t="s">
        <v>183</v>
      </c>
      <c r="K90" s="39" t="s">
        <v>184</v>
      </c>
      <c r="L90" s="39" t="s">
        <v>185</v>
      </c>
      <c r="M90" s="39" t="s">
        <v>186</v>
      </c>
      <c r="N90" s="39" t="s">
        <v>187</v>
      </c>
      <c r="O90" s="39" t="s">
        <v>188</v>
      </c>
    </row>
    <row r="91" spans="1:15" x14ac:dyDescent="0.25">
      <c r="A91" t="s">
        <v>47</v>
      </c>
      <c r="B91" s="1">
        <f>B40</f>
        <v>1165.94</v>
      </c>
      <c r="C91" s="1">
        <f t="shared" ref="C91:D91" si="62">C40</f>
        <v>1553.1</v>
      </c>
      <c r="D91" s="1">
        <f t="shared" si="62"/>
        <v>2110.5100000000002</v>
      </c>
      <c r="E91" s="1">
        <f t="shared" ref="E91" si="63">E40</f>
        <v>2110.5100000000002</v>
      </c>
      <c r="F91" s="1">
        <f>F97*F19/'LBO VALUATION DRIVERS'!$B$21</f>
        <v>2490.4018000000001</v>
      </c>
      <c r="G91" s="1">
        <f>G97*G19/'LBO VALUATION DRIVERS'!$B$21</f>
        <v>2938.6741240000001</v>
      </c>
      <c r="H91" s="1">
        <f>H97*H19/'LBO VALUATION DRIVERS'!$B$21</f>
        <v>3467.63546632</v>
      </c>
      <c r="I91" s="1">
        <f>I97*I19/'LBO VALUATION DRIVERS'!$B$21</f>
        <v>4022.4571409312002</v>
      </c>
      <c r="J91" s="1">
        <f>J97*J19/'LBO VALUATION DRIVERS'!$B$21</f>
        <v>4666.0502834801919</v>
      </c>
      <c r="K91" s="1">
        <f>K97*K19/'LBO VALUATION DRIVERS'!$B$21</f>
        <v>5412.6183288370221</v>
      </c>
      <c r="L91" s="1">
        <f>L97*L19/'LBO VALUATION DRIVERS'!$B$21</f>
        <v>6170.3848948742061</v>
      </c>
      <c r="M91" s="1">
        <f>M97*M19/'LBO VALUATION DRIVERS'!$B$21</f>
        <v>7034.2387801565956</v>
      </c>
      <c r="N91" s="1">
        <f>N97*N19/'LBO VALUATION DRIVERS'!$B$21</f>
        <v>8019.0322093785207</v>
      </c>
      <c r="O91" s="1">
        <f>O97*O19/'LBO VALUATION DRIVERS'!$B$21</f>
        <v>9141.6967186915135</v>
      </c>
    </row>
    <row r="92" spans="1:15" x14ac:dyDescent="0.25">
      <c r="A92" t="s">
        <v>49</v>
      </c>
      <c r="B92" s="1">
        <f>B41</f>
        <v>2754.24</v>
      </c>
      <c r="C92" s="1">
        <f t="shared" ref="C92:D92" si="64">C41</f>
        <v>2983.5</v>
      </c>
      <c r="D92" s="1">
        <f t="shared" si="64"/>
        <v>3541.14</v>
      </c>
      <c r="E92" s="1">
        <f t="shared" ref="E92" si="65">E41</f>
        <v>3541.14</v>
      </c>
      <c r="F92" s="28">
        <f>-F98*F21/'LBO VALUATION DRIVERS'!$B$21</f>
        <v>4178.5451999999987</v>
      </c>
      <c r="G92" s="28">
        <f>-G98*G21/'LBO VALUATION DRIVERS'!$B$21</f>
        <v>4930.6833360000001</v>
      </c>
      <c r="H92" s="28">
        <f>-H98*H21/'LBO VALUATION DRIVERS'!$B$21</f>
        <v>5818.2063364799988</v>
      </c>
      <c r="I92" s="28">
        <f>-I98*I21/'LBO VALUATION DRIVERS'!$B$21</f>
        <v>6749.1193503167979</v>
      </c>
      <c r="J92" s="28">
        <f>-J98*J21/'LBO VALUATION DRIVERS'!$B$21</f>
        <v>7828.978446367486</v>
      </c>
      <c r="K92" s="28">
        <f>-K98*K21/'LBO VALUATION DRIVERS'!$B$21</f>
        <v>9081.6149977862842</v>
      </c>
      <c r="L92" s="28">
        <f>-L98*L21/'LBO VALUATION DRIVERS'!$B$21</f>
        <v>10353.041097476364</v>
      </c>
      <c r="M92" s="28">
        <f>-M98*M21/'LBO VALUATION DRIVERS'!$B$21</f>
        <v>11802.466851123057</v>
      </c>
      <c r="N92" s="28">
        <f>-N98*N21/'LBO VALUATION DRIVERS'!$B$21</f>
        <v>13454.812210280284</v>
      </c>
      <c r="O92" s="28">
        <f>-O98*O21/'LBO VALUATION DRIVERS'!$B$21</f>
        <v>15338.485919719526</v>
      </c>
    </row>
    <row r="93" spans="1:15" x14ac:dyDescent="0.25">
      <c r="A93" t="s">
        <v>87</v>
      </c>
      <c r="B93" s="1">
        <f>-B51</f>
        <v>-723.24</v>
      </c>
      <c r="C93" s="1">
        <f t="shared" ref="C93:D93" si="66">-C51</f>
        <v>-754.96</v>
      </c>
      <c r="D93" s="1">
        <f t="shared" si="66"/>
        <v>-1106.54</v>
      </c>
      <c r="E93" s="1">
        <f t="shared" ref="E93" si="67">-E51</f>
        <v>-1106.54</v>
      </c>
      <c r="F93" s="28">
        <f>-F99*F21/'LBO VALUATION DRIVERS'!$B$21</f>
        <v>-1305.7171999999998</v>
      </c>
      <c r="G93" s="28">
        <f>-G99*G21/'LBO VALUATION DRIVERS'!$B$21</f>
        <v>-1540.7462959999996</v>
      </c>
      <c r="H93" s="28">
        <f>-H99*H21/'LBO VALUATION DRIVERS'!$B$21</f>
        <v>-1818.08062928</v>
      </c>
      <c r="I93" s="28">
        <f>-I99*I21/'LBO VALUATION DRIVERS'!$B$21</f>
        <v>-2108.9735299647996</v>
      </c>
      <c r="J93" s="28">
        <f>-J99*J21/'LBO VALUATION DRIVERS'!$B$21</f>
        <v>-2446.4092947591676</v>
      </c>
      <c r="K93" s="28">
        <f>-K99*K21/'LBO VALUATION DRIVERS'!$B$21</f>
        <v>-2837.8347819206342</v>
      </c>
      <c r="L93" s="28">
        <f>-L99*L21/'LBO VALUATION DRIVERS'!$B$21</f>
        <v>-3235.1316513895231</v>
      </c>
      <c r="M93" s="28">
        <f>-M99*M21/'LBO VALUATION DRIVERS'!$B$21</f>
        <v>-3688.0500825840563</v>
      </c>
      <c r="N93" s="28">
        <f>-N99*N21/'LBO VALUATION DRIVERS'!$B$21</f>
        <v>-4204.3770941458251</v>
      </c>
      <c r="O93" s="28">
        <f>-O99*O21/'LBO VALUATION DRIVERS'!$B$21</f>
        <v>-4792.9898873262409</v>
      </c>
    </row>
    <row r="94" spans="1:15" s="2" customFormat="1" x14ac:dyDescent="0.25">
      <c r="A94" s="2" t="s">
        <v>113</v>
      </c>
      <c r="B94" s="31">
        <f>SUM(B91:B93)</f>
        <v>3196.9399999999996</v>
      </c>
      <c r="C94" s="31">
        <f t="shared" ref="C94:D94" si="68">SUM(C91:C93)</f>
        <v>3781.6400000000003</v>
      </c>
      <c r="D94" s="31">
        <f t="shared" si="68"/>
        <v>4545.1099999999997</v>
      </c>
      <c r="E94" s="31">
        <f t="shared" ref="E94" si="69">SUM(E91:E93)</f>
        <v>4545.1099999999997</v>
      </c>
      <c r="F94" s="31">
        <f t="shared" ref="F94" si="70">SUM(F91:F93)</f>
        <v>5363.2297999999982</v>
      </c>
      <c r="G94" s="31">
        <f t="shared" ref="G94" si="71">SUM(G91:G93)</f>
        <v>6328.6111640000008</v>
      </c>
      <c r="H94" s="31">
        <f t="shared" ref="H94" si="72">SUM(H91:H93)</f>
        <v>7467.761173519998</v>
      </c>
      <c r="I94" s="31">
        <f t="shared" ref="I94" si="73">SUM(I91:I93)</f>
        <v>8662.6029612831971</v>
      </c>
      <c r="J94" s="31">
        <f t="shared" ref="J94" si="74">SUM(J91:J93)</f>
        <v>10048.619435088511</v>
      </c>
      <c r="K94" s="31">
        <f t="shared" ref="K94" si="75">SUM(K91:K93)</f>
        <v>11656.398544702673</v>
      </c>
      <c r="L94" s="31">
        <f t="shared" ref="L94" si="76">SUM(L91:L93)</f>
        <v>13288.294340961047</v>
      </c>
      <c r="M94" s="31">
        <f t="shared" ref="M94" si="77">SUM(M91:M93)</f>
        <v>15148.655548695595</v>
      </c>
      <c r="N94" s="31">
        <f t="shared" ref="N94" si="78">SUM(N91:N93)</f>
        <v>17269.467325512982</v>
      </c>
      <c r="O94" s="31">
        <f t="shared" ref="O94" si="79">SUM(O91:O93)</f>
        <v>19687.192751084796</v>
      </c>
    </row>
    <row r="97" spans="1:15" x14ac:dyDescent="0.25">
      <c r="A97" t="s">
        <v>5</v>
      </c>
      <c r="B97" s="28">
        <f>B7</f>
        <v>54.090122220301588</v>
      </c>
      <c r="C97" s="28">
        <f t="shared" ref="C97:O97" si="80">C7</f>
        <v>61.297740051903105</v>
      </c>
      <c r="D97" s="28">
        <f t="shared" si="80"/>
        <v>63.25699957628094</v>
      </c>
      <c r="E97" s="28"/>
      <c r="F97" s="28">
        <f t="shared" si="80"/>
        <v>63.25699957628094</v>
      </c>
      <c r="G97" s="28">
        <f t="shared" si="80"/>
        <v>63.25699957628094</v>
      </c>
      <c r="H97" s="28">
        <f t="shared" si="80"/>
        <v>63.25699957628094</v>
      </c>
      <c r="I97" s="28">
        <f t="shared" si="80"/>
        <v>63.25699957628094</v>
      </c>
      <c r="J97" s="28">
        <f t="shared" si="80"/>
        <v>63.25699957628094</v>
      </c>
      <c r="K97" s="28">
        <f t="shared" si="80"/>
        <v>63.25699957628094</v>
      </c>
      <c r="L97" s="28">
        <f t="shared" si="80"/>
        <v>63.25699957628094</v>
      </c>
      <c r="M97" s="28">
        <f t="shared" si="80"/>
        <v>63.25699957628094</v>
      </c>
      <c r="N97" s="28">
        <f t="shared" si="80"/>
        <v>63.25699957628094</v>
      </c>
      <c r="O97" s="28">
        <f t="shared" si="80"/>
        <v>63.25699957628094</v>
      </c>
    </row>
    <row r="98" spans="1:15" x14ac:dyDescent="0.25">
      <c r="A98" t="s">
        <v>6</v>
      </c>
      <c r="B98" s="28">
        <f t="shared" ref="B98:O98" si="81">B8</f>
        <v>174.59388112373912</v>
      </c>
      <c r="C98" s="28">
        <f t="shared" si="81"/>
        <v>156.42520092219519</v>
      </c>
      <c r="D98" s="28">
        <f t="shared" si="81"/>
        <v>142.51348761719314</v>
      </c>
      <c r="E98" s="28"/>
      <c r="F98" s="28">
        <f t="shared" si="81"/>
        <v>142.51348761719314</v>
      </c>
      <c r="G98" s="28">
        <f t="shared" si="81"/>
        <v>142.51348761719314</v>
      </c>
      <c r="H98" s="28">
        <f t="shared" si="81"/>
        <v>142.51348761719314</v>
      </c>
      <c r="I98" s="28">
        <f t="shared" si="81"/>
        <v>142.51348761719314</v>
      </c>
      <c r="J98" s="28">
        <f t="shared" si="81"/>
        <v>142.51348761719314</v>
      </c>
      <c r="K98" s="28">
        <f t="shared" si="81"/>
        <v>142.51348761719314</v>
      </c>
      <c r="L98" s="28">
        <f t="shared" si="81"/>
        <v>142.51348761719314</v>
      </c>
      <c r="M98" s="28">
        <f t="shared" si="81"/>
        <v>142.51348761719314</v>
      </c>
      <c r="N98" s="28">
        <f t="shared" si="81"/>
        <v>142.51348761719314</v>
      </c>
      <c r="O98" s="28">
        <f t="shared" si="81"/>
        <v>142.51348761719314</v>
      </c>
    </row>
    <row r="99" spans="1:15" x14ac:dyDescent="0.25">
      <c r="A99" t="s">
        <v>7</v>
      </c>
      <c r="B99" s="28">
        <f>-B9</f>
        <v>-45.846868313557678</v>
      </c>
      <c r="C99" s="28">
        <f t="shared" ref="C99:O99" si="82">-C9</f>
        <v>-39.582627681655936</v>
      </c>
      <c r="D99" s="28">
        <f t="shared" si="82"/>
        <v>-44.532798643354653</v>
      </c>
      <c r="E99" s="28">
        <f t="shared" si="82"/>
        <v>0</v>
      </c>
      <c r="F99" s="28">
        <f t="shared" si="82"/>
        <v>-44.532798643354653</v>
      </c>
      <c r="G99" s="28">
        <f t="shared" si="82"/>
        <v>-44.532798643354653</v>
      </c>
      <c r="H99" s="28">
        <f t="shared" si="82"/>
        <v>-44.532798643354653</v>
      </c>
      <c r="I99" s="28">
        <f t="shared" si="82"/>
        <v>-44.532798643354653</v>
      </c>
      <c r="J99" s="28">
        <f t="shared" si="82"/>
        <v>-44.532798643354653</v>
      </c>
      <c r="K99" s="28">
        <f t="shared" si="82"/>
        <v>-44.532798643354653</v>
      </c>
      <c r="L99" s="28">
        <f t="shared" si="82"/>
        <v>-44.532798643354653</v>
      </c>
      <c r="M99" s="28">
        <f t="shared" si="82"/>
        <v>-44.532798643354653</v>
      </c>
      <c r="N99" s="28">
        <f t="shared" si="82"/>
        <v>-44.532798643354653</v>
      </c>
      <c r="O99" s="28">
        <f t="shared" si="82"/>
        <v>-44.532798643354653</v>
      </c>
    </row>
    <row r="100" spans="1:15" s="2" customFormat="1" x14ac:dyDescent="0.25">
      <c r="A100" s="2" t="s">
        <v>114</v>
      </c>
      <c r="B100" s="31">
        <f>SUM(B97:B99)</f>
        <v>182.83713503048304</v>
      </c>
      <c r="C100" s="31">
        <f t="shared" ref="C100:O100" si="83">SUM(C97:C99)</f>
        <v>178.14031329244236</v>
      </c>
      <c r="D100" s="31">
        <f t="shared" si="83"/>
        <v>161.23768855011943</v>
      </c>
      <c r="E100" s="31">
        <f t="shared" si="83"/>
        <v>0</v>
      </c>
      <c r="F100" s="31">
        <f t="shared" si="83"/>
        <v>161.23768855011943</v>
      </c>
      <c r="G100" s="31">
        <f t="shared" si="83"/>
        <v>161.23768855011943</v>
      </c>
      <c r="H100" s="31">
        <f t="shared" si="83"/>
        <v>161.23768855011943</v>
      </c>
      <c r="I100" s="31">
        <f t="shared" si="83"/>
        <v>161.23768855011943</v>
      </c>
      <c r="J100" s="31">
        <f t="shared" si="83"/>
        <v>161.23768855011943</v>
      </c>
      <c r="K100" s="31">
        <f t="shared" si="83"/>
        <v>161.23768855011943</v>
      </c>
      <c r="L100" s="31">
        <f t="shared" si="83"/>
        <v>161.23768855011943</v>
      </c>
      <c r="M100" s="31">
        <f t="shared" si="83"/>
        <v>161.23768855011943</v>
      </c>
      <c r="N100" s="31">
        <f t="shared" si="83"/>
        <v>161.23768855011943</v>
      </c>
      <c r="O100" s="31">
        <f t="shared" si="83"/>
        <v>161.23768855011943</v>
      </c>
    </row>
    <row r="103" spans="1:15" ht="15.75" x14ac:dyDescent="0.25">
      <c r="A103" s="9" t="s">
        <v>115</v>
      </c>
      <c r="B103" s="4"/>
      <c r="C103" s="4"/>
      <c r="D103" s="4"/>
      <c r="E103" s="4"/>
      <c r="F103" s="4">
        <v>1</v>
      </c>
      <c r="G103" s="4">
        <v>2</v>
      </c>
      <c r="H103">
        <v>3</v>
      </c>
      <c r="I103">
        <v>4</v>
      </c>
      <c r="J103">
        <v>5</v>
      </c>
      <c r="K103">
        <v>6</v>
      </c>
      <c r="L103">
        <v>7</v>
      </c>
      <c r="M103">
        <v>8</v>
      </c>
      <c r="N103">
        <v>9</v>
      </c>
      <c r="O103">
        <v>10</v>
      </c>
    </row>
    <row r="104" spans="1:15" x14ac:dyDescent="0.25">
      <c r="E104" s="28">
        <f>E44</f>
        <v>936.16250000000002</v>
      </c>
      <c r="F104" s="28">
        <f>-E104/10</f>
        <v>-93.616250000000008</v>
      </c>
      <c r="G104" s="28">
        <f>$F104</f>
        <v>-93.616250000000008</v>
      </c>
      <c r="H104" s="28">
        <f t="shared" ref="H104:O104" si="84">$F104</f>
        <v>-93.616250000000008</v>
      </c>
      <c r="I104" s="28">
        <f t="shared" si="84"/>
        <v>-93.616250000000008</v>
      </c>
      <c r="J104" s="28">
        <f t="shared" si="84"/>
        <v>-93.616250000000008</v>
      </c>
      <c r="K104" s="28">
        <f t="shared" si="84"/>
        <v>-93.616250000000008</v>
      </c>
      <c r="L104" s="28">
        <f t="shared" si="84"/>
        <v>-93.616250000000008</v>
      </c>
      <c r="M104" s="28">
        <f t="shared" si="84"/>
        <v>-93.616250000000008</v>
      </c>
      <c r="N104" s="28">
        <f t="shared" si="84"/>
        <v>-93.616250000000008</v>
      </c>
      <c r="O104" s="28">
        <f t="shared" si="84"/>
        <v>-93.616250000000008</v>
      </c>
    </row>
    <row r="106" spans="1:15" ht="15.75" x14ac:dyDescent="0.25">
      <c r="A106" s="9" t="s">
        <v>116</v>
      </c>
      <c r="B106" s="4"/>
      <c r="C106" s="4"/>
      <c r="D106" s="4"/>
      <c r="E106" s="4"/>
      <c r="F106" s="4"/>
      <c r="G106" s="4"/>
    </row>
    <row r="107" spans="1:15" x14ac:dyDescent="0.25">
      <c r="A107" t="s">
        <v>14</v>
      </c>
      <c r="B107" s="38" t="s">
        <v>176</v>
      </c>
      <c r="C107" s="38" t="s">
        <v>177</v>
      </c>
      <c r="D107" s="38" t="s">
        <v>178</v>
      </c>
      <c r="E107" s="38"/>
      <c r="F107" s="39" t="s">
        <v>179</v>
      </c>
      <c r="G107" s="39" t="s">
        <v>180</v>
      </c>
      <c r="H107" s="39" t="s">
        <v>181</v>
      </c>
      <c r="I107" s="39" t="s">
        <v>182</v>
      </c>
      <c r="J107" s="39" t="s">
        <v>183</v>
      </c>
      <c r="K107" s="39" t="s">
        <v>184</v>
      </c>
      <c r="L107" s="39" t="s">
        <v>185</v>
      </c>
      <c r="M107" s="39" t="s">
        <v>186</v>
      </c>
      <c r="N107" s="39" t="s">
        <v>187</v>
      </c>
      <c r="O107" s="39" t="s">
        <v>188</v>
      </c>
    </row>
    <row r="108" spans="1:15" x14ac:dyDescent="0.25">
      <c r="A108" t="s">
        <v>117</v>
      </c>
      <c r="B108" s="1"/>
      <c r="C108" s="1"/>
      <c r="D108" s="1">
        <v>1337.99</v>
      </c>
      <c r="E108" s="28">
        <f>D108</f>
        <v>1337.99</v>
      </c>
      <c r="F108" s="28">
        <f>E111</f>
        <v>1337.99</v>
      </c>
      <c r="G108" s="28">
        <f t="shared" ref="G108:O108" si="85">F111</f>
        <v>1702.1038368935058</v>
      </c>
      <c r="H108" s="28">
        <f t="shared" si="85"/>
        <v>2020.7196225179464</v>
      </c>
      <c r="I108" s="28">
        <f t="shared" si="85"/>
        <v>2265.6607701011085</v>
      </c>
      <c r="J108" s="28">
        <f t="shared" si="85"/>
        <v>2397.8029451313114</v>
      </c>
      <c r="K108" s="28">
        <f t="shared" si="85"/>
        <v>2374.7799830134782</v>
      </c>
      <c r="L108" s="28">
        <f t="shared" si="85"/>
        <v>2143.5562001794642</v>
      </c>
      <c r="M108" s="28">
        <f t="shared" si="85"/>
        <v>1646.8115404225346</v>
      </c>
      <c r="N108" s="28">
        <f t="shared" si="85"/>
        <v>814.73214434782039</v>
      </c>
      <c r="O108" s="28">
        <f t="shared" si="85"/>
        <v>-436.83951888242245</v>
      </c>
    </row>
    <row r="109" spans="1:15" x14ac:dyDescent="0.25">
      <c r="A109" t="s">
        <v>102</v>
      </c>
      <c r="B109" s="1"/>
      <c r="C109" s="1"/>
      <c r="D109" s="1"/>
      <c r="F109" s="1">
        <f>F14*F19</f>
        <v>458.21429613918053</v>
      </c>
      <c r="G109" s="1">
        <f t="shared" ref="G109:O109" si="86">G14*G19</f>
        <v>540.692869444233</v>
      </c>
      <c r="H109" s="1">
        <f t="shared" si="86"/>
        <v>638.01758594419493</v>
      </c>
      <c r="I109" s="1">
        <f t="shared" si="86"/>
        <v>740.10039969526611</v>
      </c>
      <c r="J109" s="1">
        <f t="shared" si="86"/>
        <v>858.51646364650867</v>
      </c>
      <c r="K109" s="1">
        <f t="shared" si="86"/>
        <v>995.87909782995007</v>
      </c>
      <c r="L109" s="1">
        <f t="shared" si="86"/>
        <v>1135.3021715261432</v>
      </c>
      <c r="M109" s="1">
        <f t="shared" si="86"/>
        <v>1294.2444755398033</v>
      </c>
      <c r="N109" s="1">
        <f t="shared" si="86"/>
        <v>1475.4387021153761</v>
      </c>
      <c r="O109" s="1">
        <f t="shared" si="86"/>
        <v>1682.0001204115288</v>
      </c>
    </row>
    <row r="110" spans="1:15" x14ac:dyDescent="0.25">
      <c r="A110" t="s">
        <v>118</v>
      </c>
      <c r="B110" s="1"/>
      <c r="C110" s="1"/>
      <c r="D110" s="29"/>
      <c r="F110" s="1">
        <f>F119</f>
        <v>-94.100459245674728</v>
      </c>
      <c r="G110" s="1">
        <f t="shared" ref="G110:O110" si="87">G119</f>
        <v>-222.07708381979236</v>
      </c>
      <c r="H110" s="1">
        <f t="shared" si="87"/>
        <v>-393.0764383610325</v>
      </c>
      <c r="I110" s="1">
        <f t="shared" si="87"/>
        <v>-607.95822466506354</v>
      </c>
      <c r="J110" s="1">
        <f t="shared" si="87"/>
        <v>-881.53942576434213</v>
      </c>
      <c r="K110" s="1">
        <f t="shared" si="87"/>
        <v>-1227.1028806639642</v>
      </c>
      <c r="L110" s="1">
        <f t="shared" si="87"/>
        <v>-1632.0468312830726</v>
      </c>
      <c r="M110" s="1">
        <f t="shared" si="87"/>
        <v>-2126.3238716145174</v>
      </c>
      <c r="N110" s="1">
        <f t="shared" si="87"/>
        <v>-2727.010365345619</v>
      </c>
      <c r="O110" s="1">
        <f t="shared" si="87"/>
        <v>-3454.2131294377846</v>
      </c>
    </row>
    <row r="111" spans="1:15" s="2" customFormat="1" x14ac:dyDescent="0.25">
      <c r="A111" s="2" t="s">
        <v>119</v>
      </c>
      <c r="B111" s="31"/>
      <c r="C111" s="31"/>
      <c r="E111" s="31">
        <f>SUM(E108:E110)</f>
        <v>1337.99</v>
      </c>
      <c r="F111" s="31">
        <f t="shared" ref="F111:O111" si="88">SUM(F108:F110)</f>
        <v>1702.1038368935058</v>
      </c>
      <c r="G111" s="31">
        <f t="shared" si="88"/>
        <v>2020.7196225179464</v>
      </c>
      <c r="H111" s="31">
        <f t="shared" si="88"/>
        <v>2265.6607701011085</v>
      </c>
      <c r="I111" s="31">
        <f t="shared" si="88"/>
        <v>2397.8029451313114</v>
      </c>
      <c r="J111" s="31">
        <f t="shared" si="88"/>
        <v>2374.7799830134782</v>
      </c>
      <c r="K111" s="31">
        <f t="shared" si="88"/>
        <v>2143.5562001794642</v>
      </c>
      <c r="L111" s="31">
        <f t="shared" si="88"/>
        <v>1646.8115404225346</v>
      </c>
      <c r="M111" s="31">
        <f t="shared" si="88"/>
        <v>814.73214434782039</v>
      </c>
      <c r="N111" s="31">
        <f t="shared" si="88"/>
        <v>-436.83951888242245</v>
      </c>
      <c r="O111" s="31">
        <f t="shared" si="88"/>
        <v>-2209.0525279086783</v>
      </c>
    </row>
    <row r="113" spans="1:17" x14ac:dyDescent="0.25">
      <c r="A113" s="2" t="s">
        <v>120</v>
      </c>
      <c r="E113" s="28">
        <f>E46</f>
        <v>19107.489999999998</v>
      </c>
      <c r="F113" s="28">
        <f>E116</f>
        <v>19107.489999999998</v>
      </c>
      <c r="G113" s="28">
        <f t="shared" ref="G113:O113" si="89">F116</f>
        <v>19107.489999999998</v>
      </c>
      <c r="H113" s="28">
        <f t="shared" si="89"/>
        <v>19107.489999999998</v>
      </c>
      <c r="I113" s="28">
        <f t="shared" si="89"/>
        <v>19107.489999999998</v>
      </c>
      <c r="J113" s="28">
        <f t="shared" si="89"/>
        <v>19107.489999999998</v>
      </c>
      <c r="K113" s="28">
        <f t="shared" si="89"/>
        <v>19107.489999999998</v>
      </c>
      <c r="L113" s="28">
        <f t="shared" si="89"/>
        <v>19107.489999999998</v>
      </c>
      <c r="M113" s="28">
        <f t="shared" si="89"/>
        <v>19107.489999999998</v>
      </c>
      <c r="N113" s="28">
        <f t="shared" si="89"/>
        <v>19107.489999999998</v>
      </c>
      <c r="O113" s="28">
        <f t="shared" si="89"/>
        <v>19107.489999999998</v>
      </c>
    </row>
    <row r="114" spans="1:17" x14ac:dyDescent="0.25">
      <c r="A114" t="s">
        <v>121</v>
      </c>
    </row>
    <row r="115" spans="1:17" x14ac:dyDescent="0.25">
      <c r="A115" t="s">
        <v>122</v>
      </c>
    </row>
    <row r="116" spans="1:17" s="2" customFormat="1" x14ac:dyDescent="0.25">
      <c r="A116" s="2" t="s">
        <v>123</v>
      </c>
      <c r="E116" s="31">
        <f>SUM(E113:E115)</f>
        <v>19107.489999999998</v>
      </c>
      <c r="F116" s="31">
        <f t="shared" ref="F116:O116" si="90">SUM(F113:F115)</f>
        <v>19107.489999999998</v>
      </c>
      <c r="G116" s="31">
        <f t="shared" si="90"/>
        <v>19107.489999999998</v>
      </c>
      <c r="H116" s="31">
        <f t="shared" si="90"/>
        <v>19107.489999999998</v>
      </c>
      <c r="I116" s="31">
        <f t="shared" si="90"/>
        <v>19107.489999999998</v>
      </c>
      <c r="J116" s="31">
        <f t="shared" si="90"/>
        <v>19107.489999999998</v>
      </c>
      <c r="K116" s="31">
        <f t="shared" si="90"/>
        <v>19107.489999999998</v>
      </c>
      <c r="L116" s="31">
        <f t="shared" si="90"/>
        <v>19107.489999999998</v>
      </c>
      <c r="M116" s="31">
        <f t="shared" si="90"/>
        <v>19107.489999999998</v>
      </c>
      <c r="N116" s="31">
        <f t="shared" si="90"/>
        <v>19107.489999999998</v>
      </c>
      <c r="O116" s="31">
        <f t="shared" si="90"/>
        <v>19107.489999999998</v>
      </c>
    </row>
    <row r="118" spans="1:17" ht="15.75" x14ac:dyDescent="0.25">
      <c r="A118" s="2" t="s">
        <v>118</v>
      </c>
      <c r="F118" s="11">
        <v>1</v>
      </c>
      <c r="G118" s="11">
        <v>2</v>
      </c>
      <c r="H118" s="2">
        <v>3</v>
      </c>
      <c r="I118" s="2">
        <v>4</v>
      </c>
      <c r="J118" s="2">
        <v>5</v>
      </c>
      <c r="K118" s="2">
        <v>6</v>
      </c>
      <c r="L118" s="2">
        <v>7</v>
      </c>
      <c r="M118" s="2">
        <v>8</v>
      </c>
      <c r="N118" s="2">
        <v>9</v>
      </c>
      <c r="O118" s="2">
        <v>10</v>
      </c>
    </row>
    <row r="119" spans="1:17" s="40" customFormat="1" x14ac:dyDescent="0.25">
      <c r="A119" s="40" t="s">
        <v>77</v>
      </c>
      <c r="B119" s="41">
        <f>B28</f>
        <v>-50.03</v>
      </c>
      <c r="C119" s="41">
        <f t="shared" ref="C119:D119" si="91">C28</f>
        <v>-60.56</v>
      </c>
      <c r="D119" s="41">
        <f t="shared" si="91"/>
        <v>-54.18</v>
      </c>
      <c r="F119" s="42">
        <f t="shared" ref="F119:O119" si="92">-(F118*F15*F19)</f>
        <v>-94.100459245674728</v>
      </c>
      <c r="G119" s="42">
        <f t="shared" si="92"/>
        <v>-222.07708381979236</v>
      </c>
      <c r="H119" s="42">
        <f t="shared" si="92"/>
        <v>-393.0764383610325</v>
      </c>
      <c r="I119" s="42">
        <f t="shared" si="92"/>
        <v>-607.95822466506354</v>
      </c>
      <c r="J119" s="42">
        <f t="shared" si="92"/>
        <v>-881.53942576434213</v>
      </c>
      <c r="K119" s="42">
        <f t="shared" si="92"/>
        <v>-1227.1028806639642</v>
      </c>
      <c r="L119" s="42">
        <f t="shared" si="92"/>
        <v>-1632.0468312830726</v>
      </c>
      <c r="M119" s="42">
        <f t="shared" si="92"/>
        <v>-2126.3238716145174</v>
      </c>
      <c r="N119" s="42">
        <f t="shared" si="92"/>
        <v>-2727.010365345619</v>
      </c>
      <c r="O119" s="42">
        <f t="shared" si="92"/>
        <v>-3454.2131294377846</v>
      </c>
    </row>
    <row r="121" spans="1:17" x14ac:dyDescent="0.25">
      <c r="A121" s="2" t="s">
        <v>124</v>
      </c>
      <c r="F121" s="2">
        <v>1</v>
      </c>
      <c r="G121" s="2">
        <v>2</v>
      </c>
      <c r="H121" s="2">
        <v>3</v>
      </c>
      <c r="I121" s="2">
        <v>4</v>
      </c>
      <c r="J121" s="2">
        <v>5</v>
      </c>
      <c r="K121" s="2">
        <v>6</v>
      </c>
      <c r="L121" s="2">
        <v>7</v>
      </c>
      <c r="M121" s="2">
        <v>8</v>
      </c>
      <c r="N121" s="2">
        <v>9</v>
      </c>
      <c r="O121" s="2">
        <v>10</v>
      </c>
    </row>
    <row r="122" spans="1:17" x14ac:dyDescent="0.25">
      <c r="A122" t="s">
        <v>125</v>
      </c>
      <c r="F122" s="28">
        <f t="shared" ref="F122:O122" si="93">F104</f>
        <v>-93.616250000000008</v>
      </c>
      <c r="G122" s="28">
        <f t="shared" si="93"/>
        <v>-93.616250000000008</v>
      </c>
      <c r="H122" s="28">
        <f t="shared" si="93"/>
        <v>-93.616250000000008</v>
      </c>
      <c r="I122" s="28">
        <f t="shared" si="93"/>
        <v>-93.616250000000008</v>
      </c>
      <c r="J122" s="28">
        <f t="shared" si="93"/>
        <v>-93.616250000000008</v>
      </c>
      <c r="K122" s="28">
        <f t="shared" si="93"/>
        <v>-93.616250000000008</v>
      </c>
      <c r="L122" s="28">
        <f t="shared" si="93"/>
        <v>-93.616250000000008</v>
      </c>
      <c r="M122" s="28">
        <f t="shared" si="93"/>
        <v>-93.616250000000008</v>
      </c>
      <c r="N122" s="28">
        <f t="shared" si="93"/>
        <v>-93.616250000000008</v>
      </c>
      <c r="O122" s="28">
        <f t="shared" si="93"/>
        <v>-93.616250000000008</v>
      </c>
    </row>
    <row r="126" spans="1:17" ht="15.75" x14ac:dyDescent="0.25">
      <c r="A126" s="9" t="s">
        <v>126</v>
      </c>
      <c r="B126" s="32">
        <v>1.8200000000000001E-2</v>
      </c>
      <c r="C126" s="32">
        <v>2.99E-3</v>
      </c>
      <c r="D126" s="32">
        <v>1.0999999999999999E-2</v>
      </c>
      <c r="E126" s="32"/>
      <c r="F126" s="32">
        <v>0.02</v>
      </c>
      <c r="G126" s="32">
        <v>2.5000000000000001E-2</v>
      </c>
      <c r="H126" s="13">
        <v>2.5000000000000001E-2</v>
      </c>
      <c r="I126" s="13">
        <v>0.03</v>
      </c>
      <c r="J126" s="13">
        <v>0.03</v>
      </c>
      <c r="K126" s="13">
        <v>0.03</v>
      </c>
      <c r="L126" s="13">
        <v>0.03</v>
      </c>
      <c r="M126" s="13">
        <v>0.03</v>
      </c>
      <c r="N126" s="13">
        <v>0.03</v>
      </c>
      <c r="O126" s="13">
        <v>0.03</v>
      </c>
    </row>
    <row r="128" spans="1:17" x14ac:dyDescent="0.25">
      <c r="A128" s="2" t="s">
        <v>127</v>
      </c>
      <c r="B128" s="38" t="s">
        <v>176</v>
      </c>
      <c r="C128" s="38" t="s">
        <v>177</v>
      </c>
      <c r="D128" s="38" t="s">
        <v>178</v>
      </c>
      <c r="E128" s="38"/>
      <c r="F128" s="39" t="s">
        <v>179</v>
      </c>
      <c r="G128" s="39" t="s">
        <v>180</v>
      </c>
      <c r="H128" s="39" t="s">
        <v>181</v>
      </c>
      <c r="I128" s="39" t="s">
        <v>182</v>
      </c>
      <c r="J128" s="39" t="s">
        <v>183</v>
      </c>
      <c r="K128" s="39" t="s">
        <v>184</v>
      </c>
      <c r="L128" s="39" t="s">
        <v>185</v>
      </c>
      <c r="M128" s="39" t="s">
        <v>186</v>
      </c>
      <c r="N128" s="39" t="s">
        <v>187</v>
      </c>
      <c r="O128" s="39" t="s">
        <v>188</v>
      </c>
      <c r="Q128" t="s">
        <v>165</v>
      </c>
    </row>
    <row r="129" spans="1:18" x14ac:dyDescent="0.25">
      <c r="A129" t="s">
        <v>63</v>
      </c>
      <c r="F129" s="13">
        <f>F126+$Q129</f>
        <v>0.05</v>
      </c>
      <c r="G129" s="13">
        <f t="shared" ref="G129:O129" si="94">G126+$Q129</f>
        <v>5.5E-2</v>
      </c>
      <c r="H129" s="13">
        <f t="shared" si="94"/>
        <v>5.5E-2</v>
      </c>
      <c r="I129" s="13">
        <f t="shared" si="94"/>
        <v>0.06</v>
      </c>
      <c r="J129" s="13">
        <f t="shared" si="94"/>
        <v>0.06</v>
      </c>
      <c r="K129" s="13">
        <f t="shared" si="94"/>
        <v>0.06</v>
      </c>
      <c r="L129" s="13">
        <f t="shared" si="94"/>
        <v>0.06</v>
      </c>
      <c r="M129" s="13">
        <f t="shared" si="94"/>
        <v>0.06</v>
      </c>
      <c r="N129" s="13">
        <f t="shared" si="94"/>
        <v>0.06</v>
      </c>
      <c r="O129" s="13">
        <f t="shared" si="94"/>
        <v>0.06</v>
      </c>
      <c r="Q129" s="13">
        <v>0.03</v>
      </c>
    </row>
    <row r="130" spans="1:18" x14ac:dyDescent="0.25">
      <c r="A130" t="s">
        <v>66</v>
      </c>
      <c r="F130" s="33">
        <f>F126+$Q130</f>
        <v>5.5000000000000007E-2</v>
      </c>
      <c r="G130" s="33">
        <f t="shared" ref="G130:O130" si="95">G126+$Q130</f>
        <v>6.0000000000000005E-2</v>
      </c>
      <c r="H130" s="33">
        <f t="shared" si="95"/>
        <v>6.0000000000000005E-2</v>
      </c>
      <c r="I130" s="33">
        <f t="shared" si="95"/>
        <v>6.5000000000000002E-2</v>
      </c>
      <c r="J130" s="33">
        <f t="shared" si="95"/>
        <v>6.5000000000000002E-2</v>
      </c>
      <c r="K130" s="33">
        <f t="shared" si="95"/>
        <v>6.5000000000000002E-2</v>
      </c>
      <c r="L130" s="33">
        <f t="shared" si="95"/>
        <v>6.5000000000000002E-2</v>
      </c>
      <c r="M130" s="33">
        <f t="shared" si="95"/>
        <v>6.5000000000000002E-2</v>
      </c>
      <c r="N130" s="33">
        <f t="shared" si="95"/>
        <v>6.5000000000000002E-2</v>
      </c>
      <c r="O130" s="33">
        <f t="shared" si="95"/>
        <v>6.5000000000000002E-2</v>
      </c>
      <c r="Q130" s="13">
        <v>3.5000000000000003E-2</v>
      </c>
    </row>
    <row r="131" spans="1:18" x14ac:dyDescent="0.25">
      <c r="A131" t="s">
        <v>67</v>
      </c>
      <c r="F131" s="33">
        <f>F126+$Q131</f>
        <v>0.06</v>
      </c>
      <c r="G131" s="33">
        <f t="shared" ref="G131:O131" si="96">G126+$Q131</f>
        <v>6.5000000000000002E-2</v>
      </c>
      <c r="H131" s="33">
        <f t="shared" si="96"/>
        <v>6.5000000000000002E-2</v>
      </c>
      <c r="I131" s="33">
        <f t="shared" si="96"/>
        <v>7.0000000000000007E-2</v>
      </c>
      <c r="J131" s="33">
        <f t="shared" si="96"/>
        <v>7.0000000000000007E-2</v>
      </c>
      <c r="K131" s="33">
        <f t="shared" si="96"/>
        <v>7.0000000000000007E-2</v>
      </c>
      <c r="L131" s="33">
        <f t="shared" si="96"/>
        <v>7.0000000000000007E-2</v>
      </c>
      <c r="M131" s="33">
        <f t="shared" si="96"/>
        <v>7.0000000000000007E-2</v>
      </c>
      <c r="N131" s="33">
        <f t="shared" si="96"/>
        <v>7.0000000000000007E-2</v>
      </c>
      <c r="O131" s="33">
        <f t="shared" si="96"/>
        <v>7.0000000000000007E-2</v>
      </c>
      <c r="Q131" s="13">
        <v>0.04</v>
      </c>
    </row>
    <row r="132" spans="1:18" x14ac:dyDescent="0.25">
      <c r="A132" t="s">
        <v>104</v>
      </c>
      <c r="F132" s="33">
        <f>F126+$Q132</f>
        <v>0.05</v>
      </c>
      <c r="G132" s="33">
        <f t="shared" ref="G132:O132" si="97">G126+$Q132</f>
        <v>5.5E-2</v>
      </c>
      <c r="H132" s="33">
        <f t="shared" si="97"/>
        <v>5.5E-2</v>
      </c>
      <c r="I132" s="33">
        <f t="shared" si="97"/>
        <v>0.06</v>
      </c>
      <c r="J132" s="33">
        <f t="shared" si="97"/>
        <v>0.06</v>
      </c>
      <c r="K132" s="33">
        <f t="shared" si="97"/>
        <v>0.06</v>
      </c>
      <c r="L132" s="33">
        <f t="shared" si="97"/>
        <v>0.06</v>
      </c>
      <c r="M132" s="33">
        <f t="shared" si="97"/>
        <v>0.06</v>
      </c>
      <c r="N132" s="33">
        <f t="shared" si="97"/>
        <v>0.06</v>
      </c>
      <c r="O132" s="33">
        <f t="shared" si="97"/>
        <v>0.06</v>
      </c>
      <c r="Q132" s="13">
        <v>0.03</v>
      </c>
    </row>
    <row r="134" spans="1:18" x14ac:dyDescent="0.25">
      <c r="A134" s="2" t="s">
        <v>128</v>
      </c>
      <c r="F134" s="2">
        <v>1</v>
      </c>
      <c r="G134" s="2">
        <v>2</v>
      </c>
      <c r="H134" s="2">
        <v>3</v>
      </c>
      <c r="I134" s="2">
        <v>4</v>
      </c>
      <c r="J134" s="2">
        <v>5</v>
      </c>
      <c r="K134" s="2">
        <v>6</v>
      </c>
      <c r="L134" s="2">
        <v>7</v>
      </c>
      <c r="M134" s="2">
        <v>8</v>
      </c>
      <c r="N134" s="2">
        <v>9</v>
      </c>
      <c r="O134" s="2">
        <v>10</v>
      </c>
      <c r="Q134" t="s">
        <v>166</v>
      </c>
      <c r="R134" t="s">
        <v>167</v>
      </c>
    </row>
    <row r="135" spans="1:18" x14ac:dyDescent="0.25">
      <c r="A135" t="s">
        <v>63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1</v>
      </c>
      <c r="N135" s="12">
        <v>0</v>
      </c>
      <c r="O135" s="12">
        <v>0</v>
      </c>
      <c r="Q135" s="12">
        <v>0</v>
      </c>
      <c r="R135">
        <v>7</v>
      </c>
    </row>
    <row r="136" spans="1:18" x14ac:dyDescent="0.25">
      <c r="A136" t="s">
        <v>66</v>
      </c>
      <c r="F136" s="12">
        <v>0.1</v>
      </c>
      <c r="G136" s="12">
        <v>0.1</v>
      </c>
      <c r="H136" s="12">
        <v>0.1</v>
      </c>
      <c r="I136" s="12">
        <v>0.1</v>
      </c>
      <c r="J136" s="12">
        <v>0.1</v>
      </c>
      <c r="K136" s="12">
        <v>0.1</v>
      </c>
      <c r="L136" s="12">
        <v>0.1</v>
      </c>
      <c r="M136" s="12">
        <v>0.1</v>
      </c>
      <c r="N136" s="12">
        <v>0.20000000000000007</v>
      </c>
      <c r="O136" s="12">
        <v>0</v>
      </c>
      <c r="Q136" s="12">
        <v>0.1</v>
      </c>
      <c r="R136">
        <v>8</v>
      </c>
    </row>
    <row r="137" spans="1:18" x14ac:dyDescent="0.25">
      <c r="A137" t="s">
        <v>67</v>
      </c>
      <c r="F137" s="12">
        <v>0.05</v>
      </c>
      <c r="G137" s="12">
        <v>0.05</v>
      </c>
      <c r="H137" s="12">
        <v>0.05</v>
      </c>
      <c r="I137" s="12">
        <v>0.05</v>
      </c>
      <c r="J137" s="12">
        <v>0.05</v>
      </c>
      <c r="K137" s="12">
        <v>0.05</v>
      </c>
      <c r="L137" s="12">
        <v>0.05</v>
      </c>
      <c r="M137" s="12">
        <v>0.05</v>
      </c>
      <c r="N137" s="12">
        <v>0.05</v>
      </c>
      <c r="O137" s="12">
        <v>0.55000000000000004</v>
      </c>
      <c r="Q137" s="12">
        <v>0.05</v>
      </c>
      <c r="R137">
        <v>9</v>
      </c>
    </row>
    <row r="140" spans="1:18" ht="15.75" x14ac:dyDescent="0.25">
      <c r="A140" s="9" t="s">
        <v>129</v>
      </c>
      <c r="B140" s="4"/>
      <c r="C140" s="4"/>
      <c r="D140" s="4"/>
      <c r="E140" s="4"/>
      <c r="F140" s="4"/>
      <c r="G140" s="4"/>
    </row>
    <row r="141" spans="1:18" x14ac:dyDescent="0.25">
      <c r="A141" t="s">
        <v>14</v>
      </c>
      <c r="B141" s="38" t="s">
        <v>176</v>
      </c>
      <c r="C141" s="38" t="s">
        <v>177</v>
      </c>
      <c r="D141" s="38" t="s">
        <v>178</v>
      </c>
      <c r="E141" s="38"/>
      <c r="F141" s="39" t="s">
        <v>179</v>
      </c>
      <c r="G141" s="39" t="s">
        <v>180</v>
      </c>
      <c r="H141" s="39" t="s">
        <v>181</v>
      </c>
      <c r="I141" s="39" t="s">
        <v>182</v>
      </c>
      <c r="J141" s="39" t="s">
        <v>183</v>
      </c>
      <c r="K141" s="39" t="s">
        <v>184</v>
      </c>
      <c r="L141" s="39" t="s">
        <v>185</v>
      </c>
      <c r="M141" s="39" t="s">
        <v>186</v>
      </c>
      <c r="N141" s="39" t="s">
        <v>187</v>
      </c>
      <c r="O141" s="39" t="s">
        <v>188</v>
      </c>
    </row>
    <row r="142" spans="1:18" x14ac:dyDescent="0.25">
      <c r="A142" t="s">
        <v>130</v>
      </c>
      <c r="F142">
        <f>'LBO VALUATION DRIVERS'!B51</f>
        <v>8000</v>
      </c>
      <c r="G142">
        <f>F142</f>
        <v>8000</v>
      </c>
      <c r="H142">
        <f t="shared" ref="H142:M142" si="98">G142</f>
        <v>8000</v>
      </c>
      <c r="I142">
        <f t="shared" si="98"/>
        <v>8000</v>
      </c>
      <c r="J142">
        <f t="shared" si="98"/>
        <v>8000</v>
      </c>
      <c r="K142">
        <f t="shared" si="98"/>
        <v>8000</v>
      </c>
      <c r="L142">
        <f t="shared" si="98"/>
        <v>8000</v>
      </c>
      <c r="M142">
        <f t="shared" si="98"/>
        <v>8000</v>
      </c>
    </row>
    <row r="143" spans="1:18" x14ac:dyDescent="0.25">
      <c r="A143" t="s">
        <v>131</v>
      </c>
      <c r="F143" s="34">
        <v>0</v>
      </c>
      <c r="G143" s="34">
        <v>0</v>
      </c>
      <c r="H143" s="34">
        <v>0</v>
      </c>
      <c r="I143" s="34">
        <v>0</v>
      </c>
      <c r="J143" s="34">
        <v>0</v>
      </c>
      <c r="K143" s="34">
        <v>0</v>
      </c>
      <c r="L143" s="34">
        <v>0</v>
      </c>
      <c r="M143" s="1">
        <f>-M142</f>
        <v>-8000</v>
      </c>
    </row>
    <row r="144" spans="1:18" x14ac:dyDescent="0.25">
      <c r="A144" s="2" t="s">
        <v>132</v>
      </c>
      <c r="F144">
        <f>F142+F143</f>
        <v>8000</v>
      </c>
      <c r="G144">
        <f t="shared" ref="G144:M144" si="99">G142+G143</f>
        <v>8000</v>
      </c>
      <c r="H144">
        <f t="shared" si="99"/>
        <v>8000</v>
      </c>
      <c r="I144">
        <f t="shared" si="99"/>
        <v>8000</v>
      </c>
      <c r="J144">
        <f t="shared" si="99"/>
        <v>8000</v>
      </c>
      <c r="K144">
        <f t="shared" si="99"/>
        <v>8000</v>
      </c>
      <c r="L144">
        <f t="shared" si="99"/>
        <v>8000</v>
      </c>
      <c r="M144">
        <f t="shared" si="99"/>
        <v>0</v>
      </c>
    </row>
    <row r="145" spans="1:15" x14ac:dyDescent="0.25">
      <c r="A145" t="s">
        <v>133</v>
      </c>
      <c r="F145" s="1">
        <f>-F129*F142</f>
        <v>-400</v>
      </c>
      <c r="G145" s="1">
        <f t="shared" ref="G145:M145" si="100">-G129*G142</f>
        <v>-440</v>
      </c>
      <c r="H145" s="1">
        <f t="shared" si="100"/>
        <v>-440</v>
      </c>
      <c r="I145" s="1">
        <f t="shared" si="100"/>
        <v>-480</v>
      </c>
      <c r="J145" s="1">
        <f t="shared" si="100"/>
        <v>-480</v>
      </c>
      <c r="K145" s="1">
        <f t="shared" si="100"/>
        <v>-480</v>
      </c>
      <c r="L145" s="1">
        <f t="shared" si="100"/>
        <v>-480</v>
      </c>
      <c r="M145" s="1">
        <f t="shared" si="100"/>
        <v>-480</v>
      </c>
    </row>
    <row r="147" spans="1:15" x14ac:dyDescent="0.25">
      <c r="A147" t="s">
        <v>134</v>
      </c>
      <c r="F147">
        <f>'LBO VALUATION DRIVERS'!B52</f>
        <v>6000</v>
      </c>
      <c r="G147">
        <f>F149</f>
        <v>5400</v>
      </c>
      <c r="H147">
        <f t="shared" ref="H147:N147" si="101">G149</f>
        <v>4800</v>
      </c>
      <c r="I147">
        <f t="shared" si="101"/>
        <v>4200</v>
      </c>
      <c r="J147">
        <f t="shared" si="101"/>
        <v>3600</v>
      </c>
      <c r="K147">
        <f t="shared" si="101"/>
        <v>3000</v>
      </c>
      <c r="L147">
        <f t="shared" si="101"/>
        <v>2400</v>
      </c>
      <c r="M147">
        <f t="shared" si="101"/>
        <v>1800</v>
      </c>
      <c r="N147">
        <f t="shared" si="101"/>
        <v>1200</v>
      </c>
    </row>
    <row r="148" spans="1:15" x14ac:dyDescent="0.25">
      <c r="A148" t="s">
        <v>135</v>
      </c>
      <c r="F148" s="1">
        <f>-$F147*F136</f>
        <v>-600</v>
      </c>
      <c r="G148" s="1">
        <f t="shared" ref="G148:M148" si="102">-$F147*G136</f>
        <v>-600</v>
      </c>
      <c r="H148" s="1">
        <f t="shared" si="102"/>
        <v>-600</v>
      </c>
      <c r="I148" s="1">
        <f t="shared" si="102"/>
        <v>-600</v>
      </c>
      <c r="J148" s="1">
        <f t="shared" si="102"/>
        <v>-600</v>
      </c>
      <c r="K148" s="1">
        <f t="shared" si="102"/>
        <v>-600</v>
      </c>
      <c r="L148" s="1">
        <f t="shared" si="102"/>
        <v>-600</v>
      </c>
      <c r="M148" s="1">
        <f t="shared" si="102"/>
        <v>-600</v>
      </c>
      <c r="N148" s="1">
        <f>-N147</f>
        <v>-1200</v>
      </c>
    </row>
    <row r="149" spans="1:15" x14ac:dyDescent="0.25">
      <c r="A149" s="2" t="s">
        <v>136</v>
      </c>
      <c r="F149">
        <f>F147+F148</f>
        <v>5400</v>
      </c>
      <c r="G149">
        <f t="shared" ref="G149:N149" si="103">G147+G148</f>
        <v>4800</v>
      </c>
      <c r="H149">
        <f t="shared" si="103"/>
        <v>4200</v>
      </c>
      <c r="I149">
        <f t="shared" si="103"/>
        <v>3600</v>
      </c>
      <c r="J149">
        <f t="shared" si="103"/>
        <v>3000</v>
      </c>
      <c r="K149">
        <f t="shared" si="103"/>
        <v>2400</v>
      </c>
      <c r="L149">
        <f t="shared" si="103"/>
        <v>1800</v>
      </c>
      <c r="M149">
        <f t="shared" si="103"/>
        <v>1200</v>
      </c>
      <c r="N149">
        <f t="shared" si="103"/>
        <v>0</v>
      </c>
    </row>
    <row r="150" spans="1:15" x14ac:dyDescent="0.25">
      <c r="A150" t="s">
        <v>137</v>
      </c>
      <c r="F150" s="1">
        <f>-F130*F147</f>
        <v>-330.00000000000006</v>
      </c>
      <c r="G150" s="1">
        <f t="shared" ref="G150:N150" si="104">-G130*G147</f>
        <v>-324</v>
      </c>
      <c r="H150" s="1">
        <f t="shared" si="104"/>
        <v>-288</v>
      </c>
      <c r="I150" s="1">
        <f t="shared" si="104"/>
        <v>-273</v>
      </c>
      <c r="J150" s="1">
        <f t="shared" si="104"/>
        <v>-234</v>
      </c>
      <c r="K150" s="1">
        <f t="shared" si="104"/>
        <v>-195</v>
      </c>
      <c r="L150" s="1">
        <f t="shared" si="104"/>
        <v>-156</v>
      </c>
      <c r="M150" s="1">
        <f t="shared" si="104"/>
        <v>-117</v>
      </c>
      <c r="N150" s="1">
        <f t="shared" si="104"/>
        <v>-78</v>
      </c>
    </row>
    <row r="152" spans="1:15" x14ac:dyDescent="0.25">
      <c r="A152" t="s">
        <v>138</v>
      </c>
      <c r="F152">
        <f>'LBO VALUATION DRIVERS'!B53</f>
        <v>6000</v>
      </c>
      <c r="G152" s="28">
        <f>F154</f>
        <v>5700</v>
      </c>
      <c r="H152" s="28">
        <f t="shared" ref="H152:O152" si="105">G154</f>
        <v>5400</v>
      </c>
      <c r="I152" s="28">
        <f t="shared" si="105"/>
        <v>5100</v>
      </c>
      <c r="J152" s="28">
        <f t="shared" si="105"/>
        <v>4800</v>
      </c>
      <c r="K152" s="28">
        <f t="shared" si="105"/>
        <v>4500</v>
      </c>
      <c r="L152" s="28">
        <f t="shared" si="105"/>
        <v>4200</v>
      </c>
      <c r="M152" s="28">
        <f t="shared" si="105"/>
        <v>3900</v>
      </c>
      <c r="N152" s="28">
        <f t="shared" si="105"/>
        <v>3600</v>
      </c>
      <c r="O152" s="28">
        <f t="shared" si="105"/>
        <v>3300</v>
      </c>
    </row>
    <row r="153" spans="1:15" x14ac:dyDescent="0.25">
      <c r="A153" t="s">
        <v>139</v>
      </c>
      <c r="F153" s="1">
        <f>-$F152*F137</f>
        <v>-300</v>
      </c>
      <c r="G153" s="1">
        <f t="shared" ref="G153:N153" si="106">-$F152*G137</f>
        <v>-300</v>
      </c>
      <c r="H153" s="1">
        <f t="shared" si="106"/>
        <v>-300</v>
      </c>
      <c r="I153" s="1">
        <f t="shared" si="106"/>
        <v>-300</v>
      </c>
      <c r="J153" s="1">
        <f t="shared" si="106"/>
        <v>-300</v>
      </c>
      <c r="K153" s="1">
        <f t="shared" si="106"/>
        <v>-300</v>
      </c>
      <c r="L153" s="1">
        <f t="shared" si="106"/>
        <v>-300</v>
      </c>
      <c r="M153" s="1">
        <f t="shared" si="106"/>
        <v>-300</v>
      </c>
      <c r="N153" s="1">
        <f t="shared" si="106"/>
        <v>-300</v>
      </c>
      <c r="O153" s="28">
        <f>-O152</f>
        <v>-3300</v>
      </c>
    </row>
    <row r="154" spans="1:15" x14ac:dyDescent="0.25">
      <c r="A154" s="2" t="s">
        <v>140</v>
      </c>
      <c r="F154" s="28">
        <f>F152+F153</f>
        <v>5700</v>
      </c>
      <c r="G154" s="28">
        <f t="shared" ref="G154:O154" si="107">G152+G153</f>
        <v>5400</v>
      </c>
      <c r="H154" s="28">
        <f t="shared" si="107"/>
        <v>5100</v>
      </c>
      <c r="I154" s="28">
        <f t="shared" si="107"/>
        <v>4800</v>
      </c>
      <c r="J154" s="28">
        <f t="shared" si="107"/>
        <v>4500</v>
      </c>
      <c r="K154" s="28">
        <f t="shared" si="107"/>
        <v>4200</v>
      </c>
      <c r="L154" s="28">
        <f t="shared" si="107"/>
        <v>3900</v>
      </c>
      <c r="M154" s="28">
        <f t="shared" si="107"/>
        <v>3600</v>
      </c>
      <c r="N154" s="28">
        <f t="shared" si="107"/>
        <v>3300</v>
      </c>
      <c r="O154" s="28">
        <f t="shared" si="107"/>
        <v>0</v>
      </c>
    </row>
    <row r="155" spans="1:15" x14ac:dyDescent="0.25">
      <c r="A155" t="s">
        <v>141</v>
      </c>
      <c r="F155" s="1">
        <f>-F152*F131</f>
        <v>-360</v>
      </c>
      <c r="G155" s="1">
        <f t="shared" ref="G155:O155" si="108">-G152*G131</f>
        <v>-370.5</v>
      </c>
      <c r="H155" s="1">
        <f t="shared" si="108"/>
        <v>-351</v>
      </c>
      <c r="I155" s="1">
        <f t="shared" si="108"/>
        <v>-357.00000000000006</v>
      </c>
      <c r="J155" s="1">
        <f t="shared" si="108"/>
        <v>-336.00000000000006</v>
      </c>
      <c r="K155" s="1">
        <f t="shared" si="108"/>
        <v>-315.00000000000006</v>
      </c>
      <c r="L155" s="1">
        <f t="shared" si="108"/>
        <v>-294</v>
      </c>
      <c r="M155" s="1">
        <f t="shared" si="108"/>
        <v>-273</v>
      </c>
      <c r="N155" s="1">
        <f t="shared" si="108"/>
        <v>-252.00000000000003</v>
      </c>
      <c r="O155" s="1">
        <f t="shared" si="108"/>
        <v>-231.00000000000003</v>
      </c>
    </row>
    <row r="158" spans="1:15" x14ac:dyDescent="0.25">
      <c r="A158" s="2" t="s">
        <v>142</v>
      </c>
    </row>
    <row r="159" spans="1:15" x14ac:dyDescent="0.25">
      <c r="A159" t="s">
        <v>101</v>
      </c>
      <c r="F159" s="28">
        <f ca="1">F73</f>
        <v>88.241258915137166</v>
      </c>
      <c r="G159" s="28">
        <f t="shared" ref="G159:O159" ca="1" si="109">G73</f>
        <v>194.38015163086811</v>
      </c>
      <c r="H159" s="28">
        <f t="shared" ca="1" si="109"/>
        <v>415.27777909341165</v>
      </c>
      <c r="I159" s="28">
        <f t="shared" ca="1" si="109"/>
        <v>700.16759417552009</v>
      </c>
      <c r="J159" s="28">
        <f t="shared" ca="1" si="109"/>
        <v>1023.7742945971149</v>
      </c>
      <c r="K159" s="28">
        <f t="shared" ca="1" si="109"/>
        <v>1417.2089962951634</v>
      </c>
      <c r="L159" s="28">
        <f t="shared" ca="1" si="109"/>
        <v>2022.1604582818727</v>
      </c>
      <c r="M159" s="28">
        <f t="shared" ca="1" si="109"/>
        <v>2233.649772020854</v>
      </c>
      <c r="N159" s="28">
        <f t="shared" ca="1" si="109"/>
        <v>3151.0731787407021</v>
      </c>
      <c r="O159" s="28">
        <f t="shared" ca="1" si="109"/>
        <v>3847.3080027212927</v>
      </c>
    </row>
    <row r="160" spans="1:15" x14ac:dyDescent="0.25">
      <c r="A160" t="s">
        <v>103</v>
      </c>
      <c r="F160" s="28">
        <f>F76</f>
        <v>-458.21429613918053</v>
      </c>
      <c r="G160" s="28">
        <f t="shared" ref="G160:O160" si="110">G76</f>
        <v>-540.692869444233</v>
      </c>
      <c r="H160" s="28">
        <f t="shared" si="110"/>
        <v>-638.01758594419493</v>
      </c>
      <c r="I160" s="28">
        <f t="shared" si="110"/>
        <v>-740.10039969526611</v>
      </c>
      <c r="J160" s="28">
        <f t="shared" si="110"/>
        <v>-858.51646364650867</v>
      </c>
      <c r="K160" s="28">
        <f t="shared" si="110"/>
        <v>-995.87909782995007</v>
      </c>
      <c r="L160" s="28">
        <f t="shared" si="110"/>
        <v>-1135.3021715261432</v>
      </c>
      <c r="M160" s="28">
        <f t="shared" si="110"/>
        <v>-1294.2444755398033</v>
      </c>
      <c r="N160" s="28">
        <f t="shared" si="110"/>
        <v>-1475.4387021153761</v>
      </c>
      <c r="O160" s="28">
        <f t="shared" si="110"/>
        <v>-1682.0001204115288</v>
      </c>
    </row>
    <row r="161" spans="1:15" x14ac:dyDescent="0.25">
      <c r="A161" t="s">
        <v>143</v>
      </c>
      <c r="F161" s="28">
        <f>F80</f>
        <v>-900</v>
      </c>
      <c r="G161" s="28">
        <f t="shared" ref="G161:O161" si="111">G80</f>
        <v>-900</v>
      </c>
      <c r="H161" s="28">
        <f t="shared" si="111"/>
        <v>-900</v>
      </c>
      <c r="I161" s="28">
        <f t="shared" si="111"/>
        <v>-900</v>
      </c>
      <c r="J161" s="28">
        <f t="shared" si="111"/>
        <v>-900</v>
      </c>
      <c r="K161" s="28">
        <f t="shared" si="111"/>
        <v>-900</v>
      </c>
      <c r="L161" s="28">
        <f t="shared" si="111"/>
        <v>-900</v>
      </c>
      <c r="M161" s="28">
        <f t="shared" si="111"/>
        <v>-8900</v>
      </c>
      <c r="N161" s="28">
        <f t="shared" si="111"/>
        <v>-1500</v>
      </c>
      <c r="O161" s="28">
        <f t="shared" si="111"/>
        <v>-3300</v>
      </c>
    </row>
    <row r="162" spans="1:15" x14ac:dyDescent="0.25">
      <c r="A162" t="s">
        <v>144</v>
      </c>
      <c r="F162" s="28">
        <f ca="1">F159+F160+F161</f>
        <v>-1269.9730372240433</v>
      </c>
      <c r="G162" s="28">
        <f t="shared" ref="G162:O162" ca="1" si="112">G159+G160+G161</f>
        <v>-1246.312717813365</v>
      </c>
      <c r="H162" s="28">
        <f t="shared" ca="1" si="112"/>
        <v>-1122.7398068507832</v>
      </c>
      <c r="I162" s="28">
        <f t="shared" ca="1" si="112"/>
        <v>-939.93280551974601</v>
      </c>
      <c r="J162" s="28">
        <f t="shared" ca="1" si="112"/>
        <v>-734.74216904939374</v>
      </c>
      <c r="K162" s="28">
        <f t="shared" ca="1" si="112"/>
        <v>-478.67010153478668</v>
      </c>
      <c r="L162" s="28">
        <f t="shared" ca="1" si="112"/>
        <v>-13.141713244270477</v>
      </c>
      <c r="M162" s="28">
        <f t="shared" ca="1" si="112"/>
        <v>-7960.5947035189492</v>
      </c>
      <c r="N162" s="28">
        <f t="shared" ca="1" si="112"/>
        <v>175.63447662532599</v>
      </c>
      <c r="O162" s="28">
        <f t="shared" ca="1" si="112"/>
        <v>-1134.692117690236</v>
      </c>
    </row>
    <row r="163" spans="1:15" x14ac:dyDescent="0.25">
      <c r="A163" t="s">
        <v>145</v>
      </c>
      <c r="F163" s="28">
        <f>E39</f>
        <v>250.72</v>
      </c>
      <c r="G163" s="28">
        <f ca="1">F39</f>
        <v>249.99999999999991</v>
      </c>
      <c r="H163" s="28">
        <f t="shared" ref="H163:O163" ca="1" si="113">G39</f>
        <v>249.99999999999991</v>
      </c>
      <c r="I163" s="28">
        <f t="shared" ca="1" si="113"/>
        <v>249.99999999999991</v>
      </c>
      <c r="J163" s="28">
        <f t="shared" ca="1" si="113"/>
        <v>250.00000000000003</v>
      </c>
      <c r="K163" s="28">
        <f t="shared" ca="1" si="113"/>
        <v>250.00000000000003</v>
      </c>
      <c r="L163" s="28">
        <f t="shared" ca="1" si="113"/>
        <v>250.00000000000003</v>
      </c>
      <c r="M163" s="28">
        <f t="shared" ca="1" si="113"/>
        <v>250.00000000000003</v>
      </c>
      <c r="N163" s="28">
        <f t="shared" ca="1" si="113"/>
        <v>249.99999999999048</v>
      </c>
      <c r="O163" s="28">
        <f t="shared" ca="1" si="113"/>
        <v>601.26895324918314</v>
      </c>
    </row>
    <row r="164" spans="1:15" x14ac:dyDescent="0.25">
      <c r="A164" t="s">
        <v>146</v>
      </c>
      <c r="F164" s="28">
        <f ca="1">F163+F162</f>
        <v>-1019.2530372240433</v>
      </c>
      <c r="G164" s="28">
        <f t="shared" ref="G164:O164" ca="1" si="114">G163+G162</f>
        <v>-996.31271781336511</v>
      </c>
      <c r="H164" s="28">
        <f t="shared" ca="1" si="114"/>
        <v>-872.73980685078334</v>
      </c>
      <c r="I164" s="28">
        <f t="shared" ca="1" si="114"/>
        <v>-689.93280551974613</v>
      </c>
      <c r="J164" s="28">
        <f t="shared" ca="1" si="114"/>
        <v>-484.74216904939374</v>
      </c>
      <c r="K164" s="28">
        <f t="shared" ca="1" si="114"/>
        <v>-228.67010153478665</v>
      </c>
      <c r="L164" s="28">
        <f t="shared" ca="1" si="114"/>
        <v>236.85828675572955</v>
      </c>
      <c r="M164" s="28">
        <f t="shared" ca="1" si="114"/>
        <v>-7710.5947035189492</v>
      </c>
      <c r="N164" s="28">
        <f t="shared" ca="1" si="114"/>
        <v>425.63447662531644</v>
      </c>
      <c r="O164" s="28">
        <f t="shared" ca="1" si="114"/>
        <v>-533.4231644410529</v>
      </c>
    </row>
    <row r="165" spans="1:15" x14ac:dyDescent="0.25">
      <c r="A165" t="s">
        <v>48</v>
      </c>
      <c r="F165" s="1">
        <f>'LBO VALUATION DRIVERS'!$B26</f>
        <v>250</v>
      </c>
      <c r="G165" s="1">
        <f>'LBO VALUATION DRIVERS'!$B26</f>
        <v>250</v>
      </c>
      <c r="H165" s="1">
        <f>'LBO VALUATION DRIVERS'!$B26</f>
        <v>250</v>
      </c>
      <c r="I165" s="1">
        <f>'LBO VALUATION DRIVERS'!$B26</f>
        <v>250</v>
      </c>
      <c r="J165" s="1">
        <f>'LBO VALUATION DRIVERS'!$B26</f>
        <v>250</v>
      </c>
      <c r="K165" s="1">
        <f>'LBO VALUATION DRIVERS'!$B26</f>
        <v>250</v>
      </c>
      <c r="L165" s="1">
        <f>'LBO VALUATION DRIVERS'!$B26</f>
        <v>250</v>
      </c>
      <c r="M165" s="1">
        <f>'LBO VALUATION DRIVERS'!$B26</f>
        <v>250</v>
      </c>
      <c r="N165" s="1">
        <f>'LBO VALUATION DRIVERS'!$B26</f>
        <v>250</v>
      </c>
      <c r="O165" s="1">
        <f>'LBO VALUATION DRIVERS'!$B26</f>
        <v>250</v>
      </c>
    </row>
    <row r="166" spans="1:15" x14ac:dyDescent="0.25">
      <c r="A166" t="s">
        <v>147</v>
      </c>
      <c r="F166" s="28">
        <f ca="1">F164-F165</f>
        <v>-1269.2530372240433</v>
      </c>
      <c r="G166" s="28">
        <f t="shared" ref="G166:O166" ca="1" si="115">G164-G165</f>
        <v>-1246.312717813365</v>
      </c>
      <c r="H166" s="28">
        <f t="shared" ca="1" si="115"/>
        <v>-1122.7398068507832</v>
      </c>
      <c r="I166" s="28">
        <f t="shared" ca="1" si="115"/>
        <v>-939.93280551974613</v>
      </c>
      <c r="J166" s="28">
        <f t="shared" ca="1" si="115"/>
        <v>-734.74216904939374</v>
      </c>
      <c r="K166" s="28">
        <f t="shared" ca="1" si="115"/>
        <v>-478.67010153478668</v>
      </c>
      <c r="L166" s="28">
        <f t="shared" ca="1" si="115"/>
        <v>-13.141713244270449</v>
      </c>
      <c r="M166" s="28">
        <f t="shared" ca="1" si="115"/>
        <v>-7960.5947035189492</v>
      </c>
      <c r="N166" s="28">
        <f t="shared" ca="1" si="115"/>
        <v>175.63447662531644</v>
      </c>
      <c r="O166" s="28">
        <f t="shared" ca="1" si="115"/>
        <v>-783.4231644410529</v>
      </c>
    </row>
    <row r="168" spans="1:15" x14ac:dyDescent="0.25">
      <c r="A168" t="s">
        <v>148</v>
      </c>
      <c r="F168" s="1">
        <f ca="1">IF(F166&lt;0,-F166,F166)</f>
        <v>1269.2530372240433</v>
      </c>
      <c r="G168" s="1">
        <f t="shared" ref="G168:O168" ca="1" si="116">IF(G166&lt;0,-G166,G166)</f>
        <v>1246.312717813365</v>
      </c>
      <c r="H168" s="1">
        <f t="shared" ca="1" si="116"/>
        <v>1122.7398068507832</v>
      </c>
      <c r="I168" s="1">
        <f t="shared" ca="1" si="116"/>
        <v>939.93280551974613</v>
      </c>
      <c r="J168" s="1">
        <f t="shared" ca="1" si="116"/>
        <v>734.74216904939374</v>
      </c>
      <c r="K168" s="1">
        <f t="shared" ca="1" si="116"/>
        <v>478.67010153478668</v>
      </c>
      <c r="L168" s="1">
        <f t="shared" ca="1" si="116"/>
        <v>13.141713244270449</v>
      </c>
      <c r="M168" s="1">
        <f t="shared" ca="1" si="116"/>
        <v>7960.5947035189492</v>
      </c>
      <c r="N168" s="1">
        <f t="shared" ca="1" si="116"/>
        <v>175.63447662531644</v>
      </c>
      <c r="O168" s="1">
        <f t="shared" ca="1" si="116"/>
        <v>783.4231644410529</v>
      </c>
    </row>
    <row r="169" spans="1:15" x14ac:dyDescent="0.25">
      <c r="A169" t="s">
        <v>149</v>
      </c>
      <c r="F169" s="34">
        <f>0</f>
        <v>0</v>
      </c>
      <c r="G169" s="34">
        <f>0</f>
        <v>0</v>
      </c>
      <c r="H169" s="34">
        <f>0</f>
        <v>0</v>
      </c>
      <c r="I169" s="34">
        <f>0</f>
        <v>0</v>
      </c>
      <c r="J169" s="34">
        <f>0</f>
        <v>0</v>
      </c>
      <c r="K169" s="34">
        <f>0</f>
        <v>0</v>
      </c>
      <c r="L169" s="34">
        <f>0</f>
        <v>0</v>
      </c>
      <c r="M169" s="34">
        <f>0</f>
        <v>0</v>
      </c>
      <c r="N169" s="34">
        <f>0</f>
        <v>0</v>
      </c>
      <c r="O169" s="34">
        <f>0</f>
        <v>0</v>
      </c>
    </row>
    <row r="170" spans="1:15" x14ac:dyDescent="0.25">
      <c r="A170" s="2" t="s">
        <v>150</v>
      </c>
      <c r="F170" s="28">
        <f ca="1">F168+F169</f>
        <v>1269.2530372240433</v>
      </c>
      <c r="G170" s="28">
        <f ca="1">F170+G168+G169</f>
        <v>2515.5657550374081</v>
      </c>
      <c r="H170" s="28">
        <f t="shared" ref="H170:O170" ca="1" si="117">G170+H168+H169</f>
        <v>3638.3055618881913</v>
      </c>
      <c r="I170" s="28">
        <f t="shared" ca="1" si="117"/>
        <v>4578.2383674079374</v>
      </c>
      <c r="J170" s="28">
        <f t="shared" ca="1" si="117"/>
        <v>5312.9805364573313</v>
      </c>
      <c r="K170" s="28">
        <f t="shared" ca="1" si="117"/>
        <v>5791.6506379921175</v>
      </c>
      <c r="L170" s="28">
        <f t="shared" ca="1" si="117"/>
        <v>5804.7923512363877</v>
      </c>
      <c r="M170" s="28">
        <f t="shared" ca="1" si="117"/>
        <v>13765.387054755338</v>
      </c>
      <c r="N170" s="28">
        <f t="shared" ca="1" si="117"/>
        <v>13941.021531380655</v>
      </c>
      <c r="O170" s="28">
        <f t="shared" ca="1" si="117"/>
        <v>14724.444695821709</v>
      </c>
    </row>
    <row r="171" spans="1:15" x14ac:dyDescent="0.25">
      <c r="A171" t="s">
        <v>151</v>
      </c>
      <c r="F171" s="28">
        <f ca="1">-F170*F132</f>
        <v>-63.462651861202168</v>
      </c>
      <c r="G171" s="28">
        <f t="shared" ref="G171:O171" ca="1" si="118">-G170*G132</f>
        <v>-138.35611652705745</v>
      </c>
      <c r="H171" s="28">
        <f t="shared" ca="1" si="118"/>
        <v>-200.10680590385053</v>
      </c>
      <c r="I171" s="28">
        <f t="shared" ca="1" si="118"/>
        <v>-274.69430204447622</v>
      </c>
      <c r="J171" s="28">
        <f t="shared" ca="1" si="118"/>
        <v>-318.77883218743989</v>
      </c>
      <c r="K171" s="28">
        <f t="shared" ca="1" si="118"/>
        <v>-347.49903827952704</v>
      </c>
      <c r="L171" s="28">
        <f t="shared" ca="1" si="118"/>
        <v>-348.28754107418325</v>
      </c>
      <c r="M171" s="28">
        <f t="shared" ca="1" si="118"/>
        <v>-825.9232232853202</v>
      </c>
      <c r="N171" s="28">
        <f t="shared" ca="1" si="118"/>
        <v>-836.4612918828393</v>
      </c>
      <c r="O171" s="28">
        <f t="shared" ca="1" si="118"/>
        <v>-883.46668174930244</v>
      </c>
    </row>
    <row r="172" spans="1:15" x14ac:dyDescent="0.25">
      <c r="F172" s="1"/>
    </row>
    <row r="174" spans="1:15" ht="15.75" x14ac:dyDescent="0.25">
      <c r="A174" s="9" t="s">
        <v>152</v>
      </c>
      <c r="B174" s="4"/>
      <c r="C174" s="4"/>
      <c r="D174" s="4"/>
      <c r="E174" s="4"/>
      <c r="F174" s="4"/>
      <c r="G174" s="4"/>
    </row>
    <row r="175" spans="1:15" x14ac:dyDescent="0.25">
      <c r="A175" t="s">
        <v>14</v>
      </c>
      <c r="B175" s="38" t="s">
        <v>176</v>
      </c>
      <c r="C175" s="38" t="s">
        <v>177</v>
      </c>
      <c r="D175" s="38" t="s">
        <v>178</v>
      </c>
      <c r="E175" s="38"/>
      <c r="F175" s="39" t="s">
        <v>179</v>
      </c>
      <c r="G175" s="39" t="s">
        <v>180</v>
      </c>
      <c r="H175" s="39" t="s">
        <v>181</v>
      </c>
      <c r="I175" s="39" t="s">
        <v>182</v>
      </c>
      <c r="J175" s="39" t="s">
        <v>183</v>
      </c>
      <c r="K175" s="39" t="s">
        <v>184</v>
      </c>
      <c r="L175" s="39" t="s">
        <v>185</v>
      </c>
      <c r="M175" s="39" t="s">
        <v>186</v>
      </c>
      <c r="N175" s="39" t="s">
        <v>187</v>
      </c>
      <c r="O175" s="39" t="s">
        <v>188</v>
      </c>
    </row>
    <row r="176" spans="1:15" x14ac:dyDescent="0.25">
      <c r="A176" t="s">
        <v>153</v>
      </c>
      <c r="C176" s="28">
        <f>B181</f>
        <v>2704.46</v>
      </c>
      <c r="D176" s="28">
        <f>C181</f>
        <v>3168.4399999999996</v>
      </c>
      <c r="F176" s="28">
        <f>E181</f>
        <v>5455.8224999999984</v>
      </c>
      <c r="G176" s="28">
        <f ca="1">F181</f>
        <v>6044.5698496694595</v>
      </c>
      <c r="H176" s="28">
        <f t="shared" ref="H176:O176" ca="1" si="119">G181</f>
        <v>6735.3595714805379</v>
      </c>
      <c r="I176" s="28">
        <f t="shared" ca="1" si="119"/>
        <v>7622.2260889329136</v>
      </c>
      <c r="J176" s="28">
        <f t="shared" ca="1" si="119"/>
        <v>8625.9499493585699</v>
      </c>
      <c r="K176" s="28">
        <f t="shared" ca="1" si="119"/>
        <v>9840.5202276529762</v>
      </c>
      <c r="L176" s="28">
        <f t="shared" ca="1" si="119"/>
        <v>11289.51401825967</v>
      </c>
      <c r="M176" s="28">
        <f t="shared" ca="1" si="119"/>
        <v>12958.802879108594</v>
      </c>
      <c r="N176" s="28">
        <f t="shared" ca="1" si="119"/>
        <v>14537.494821104076</v>
      </c>
      <c r="O176" s="28">
        <f t="shared" ca="1" si="119"/>
        <v>16652.021196910846</v>
      </c>
    </row>
    <row r="177" spans="1:15" x14ac:dyDescent="0.25">
      <c r="A177" t="s">
        <v>25</v>
      </c>
      <c r="C177" s="28">
        <f>C34</f>
        <v>789.97999999999979</v>
      </c>
      <c r="D177" s="28">
        <f>D34</f>
        <v>1065.1799999999992</v>
      </c>
      <c r="F177" s="28">
        <f ca="1">F34</f>
        <v>588.74734966946119</v>
      </c>
      <c r="G177" s="28">
        <f t="shared" ref="G177:O177" ca="1" si="120">G34</f>
        <v>690.78972181107838</v>
      </c>
      <c r="H177" s="28">
        <f t="shared" ca="1" si="120"/>
        <v>886.86651745237623</v>
      </c>
      <c r="I177" s="28">
        <f t="shared" ca="1" si="120"/>
        <v>1003.7238604256556</v>
      </c>
      <c r="J177" s="28">
        <f t="shared" ca="1" si="120"/>
        <v>1214.5702782944065</v>
      </c>
      <c r="K177" s="28">
        <f t="shared" ca="1" si="120"/>
        <v>1448.993790606693</v>
      </c>
      <c r="L177" s="28">
        <f t="shared" ca="1" si="120"/>
        <v>1669.2888608489247</v>
      </c>
      <c r="M177" s="28">
        <f t="shared" ca="1" si="120"/>
        <v>1578.6919419954809</v>
      </c>
      <c r="N177" s="28">
        <f t="shared" ca="1" si="120"/>
        <v>2114.5263758067094</v>
      </c>
      <c r="O177" s="28">
        <f t="shared" ca="1" si="120"/>
        <v>2333.3296094327561</v>
      </c>
    </row>
    <row r="178" spans="1:15" x14ac:dyDescent="0.25">
      <c r="A178" t="s">
        <v>154</v>
      </c>
      <c r="F178" s="34">
        <v>0</v>
      </c>
      <c r="G178" s="34">
        <v>0</v>
      </c>
      <c r="H178" s="34">
        <v>0</v>
      </c>
      <c r="I178" s="34">
        <v>0</v>
      </c>
      <c r="J178" s="34">
        <v>0</v>
      </c>
      <c r="K178" s="34">
        <v>0</v>
      </c>
      <c r="L178" s="34">
        <v>0</v>
      </c>
      <c r="M178" s="34">
        <v>0</v>
      </c>
      <c r="N178" s="34">
        <v>0</v>
      </c>
      <c r="O178" s="34">
        <v>0</v>
      </c>
    </row>
    <row r="179" spans="1:15" x14ac:dyDescent="0.25">
      <c r="A179" t="s">
        <v>109</v>
      </c>
      <c r="C179" s="1">
        <v>-326</v>
      </c>
      <c r="D179" s="1">
        <v>-429</v>
      </c>
      <c r="F179" s="34">
        <v>0</v>
      </c>
      <c r="G179" s="34">
        <v>0</v>
      </c>
      <c r="H179" s="34">
        <v>0</v>
      </c>
      <c r="I179" s="34">
        <v>0</v>
      </c>
      <c r="J179" s="34">
        <v>0</v>
      </c>
      <c r="K179" s="34">
        <v>0</v>
      </c>
      <c r="L179" s="34">
        <v>0</v>
      </c>
      <c r="M179" s="34">
        <v>0</v>
      </c>
      <c r="N179" s="34">
        <v>0</v>
      </c>
      <c r="O179" s="34">
        <v>0</v>
      </c>
    </row>
    <row r="180" spans="1:15" x14ac:dyDescent="0.25">
      <c r="A180" t="s">
        <v>155</v>
      </c>
      <c r="F180" s="34">
        <v>0</v>
      </c>
      <c r="G180" s="34">
        <v>0</v>
      </c>
      <c r="H180" s="34">
        <v>0</v>
      </c>
      <c r="I180" s="34">
        <v>0</v>
      </c>
      <c r="J180" s="34">
        <v>0</v>
      </c>
      <c r="K180" s="34">
        <v>0</v>
      </c>
      <c r="L180" s="34">
        <v>0</v>
      </c>
      <c r="M180" s="34">
        <v>0</v>
      </c>
      <c r="N180" s="34">
        <v>0</v>
      </c>
      <c r="O180" s="34">
        <v>0</v>
      </c>
    </row>
    <row r="181" spans="1:15" s="2" customFormat="1" x14ac:dyDescent="0.25">
      <c r="A181" s="2" t="s">
        <v>156</v>
      </c>
      <c r="B181" s="21">
        <v>2704.46</v>
      </c>
      <c r="C181" s="21">
        <f>SUM(C176:C180)</f>
        <v>3168.4399999999996</v>
      </c>
      <c r="D181" s="21">
        <f>SUM(D176:D180)</f>
        <v>3804.619999999999</v>
      </c>
      <c r="E181" s="21">
        <f>'LBO VALUATION DRIVERS'!E77</f>
        <v>5455.8224999999984</v>
      </c>
      <c r="F181" s="31">
        <f ca="1">SUM(F176:F180)</f>
        <v>6044.5698496694595</v>
      </c>
      <c r="G181" s="31">
        <f t="shared" ref="G181:O181" ca="1" si="121">SUM(G176:G180)</f>
        <v>6735.3595714805379</v>
      </c>
      <c r="H181" s="31">
        <f t="shared" ca="1" si="121"/>
        <v>7622.2260889329136</v>
      </c>
      <c r="I181" s="31">
        <f t="shared" ca="1" si="121"/>
        <v>8625.9499493585699</v>
      </c>
      <c r="J181" s="31">
        <f t="shared" ca="1" si="121"/>
        <v>9840.5202276529762</v>
      </c>
      <c r="K181" s="31">
        <f t="shared" ca="1" si="121"/>
        <v>11289.51401825967</v>
      </c>
      <c r="L181" s="31">
        <f t="shared" ca="1" si="121"/>
        <v>12958.802879108594</v>
      </c>
      <c r="M181" s="31">
        <f t="shared" ca="1" si="121"/>
        <v>14537.494821104076</v>
      </c>
      <c r="N181" s="31">
        <f t="shared" ca="1" si="121"/>
        <v>16652.021196910784</v>
      </c>
      <c r="O181" s="31">
        <f t="shared" ca="1" si="121"/>
        <v>18985.350806343602</v>
      </c>
    </row>
    <row r="184" spans="1:15" ht="15.75" x14ac:dyDescent="0.25">
      <c r="A184" s="9" t="s">
        <v>157</v>
      </c>
      <c r="B184" s="4"/>
      <c r="C184" s="4"/>
      <c r="D184" s="19"/>
      <c r="E184" s="19"/>
      <c r="F184" s="4"/>
      <c r="G184" s="4"/>
    </row>
    <row r="185" spans="1:15" x14ac:dyDescent="0.25">
      <c r="A185" t="s">
        <v>158</v>
      </c>
      <c r="B185" s="28">
        <f>O27</f>
        <v>8197.6439542702065</v>
      </c>
    </row>
    <row r="186" spans="1:15" x14ac:dyDescent="0.25">
      <c r="A186" t="s">
        <v>159</v>
      </c>
      <c r="B186" s="26">
        <f>'LBO VALUATION DRIVERS'!B10</f>
        <v>11.38989516844909</v>
      </c>
    </row>
    <row r="187" spans="1:15" x14ac:dyDescent="0.25">
      <c r="A187" t="s">
        <v>160</v>
      </c>
      <c r="B187" s="28">
        <f>B185*B186</f>
        <v>93370.305267408126</v>
      </c>
    </row>
    <row r="188" spans="1:15" x14ac:dyDescent="0.25">
      <c r="A188" t="s">
        <v>83</v>
      </c>
      <c r="B188" s="28">
        <f ca="1">O39</f>
        <v>250.0000008040879</v>
      </c>
    </row>
    <row r="189" spans="1:15" x14ac:dyDescent="0.25">
      <c r="A189" t="s">
        <v>161</v>
      </c>
      <c r="B189" s="28">
        <f ca="1">-O54</f>
        <v>-14724.444695874809</v>
      </c>
    </row>
    <row r="190" spans="1:15" s="2" customFormat="1" x14ac:dyDescent="0.25">
      <c r="A190" s="2" t="s">
        <v>162</v>
      </c>
      <c r="B190" s="31">
        <f ca="1">SUM(B187:B189)</f>
        <v>78895.860572337406</v>
      </c>
    </row>
    <row r="193" spans="1:15" x14ac:dyDescent="0.25">
      <c r="A193" t="s">
        <v>14</v>
      </c>
      <c r="C193" s="2" t="s">
        <v>163</v>
      </c>
      <c r="E193" t="s">
        <v>96</v>
      </c>
      <c r="F193" s="39" t="s">
        <v>179</v>
      </c>
      <c r="G193" s="39" t="s">
        <v>180</v>
      </c>
      <c r="H193" s="39" t="s">
        <v>181</v>
      </c>
      <c r="I193" s="39" t="s">
        <v>182</v>
      </c>
      <c r="J193" s="39" t="s">
        <v>183</v>
      </c>
      <c r="K193" s="39" t="s">
        <v>184</v>
      </c>
      <c r="L193" s="39" t="s">
        <v>185</v>
      </c>
      <c r="M193" s="39" t="s">
        <v>186</v>
      </c>
      <c r="N193" s="39" t="s">
        <v>187</v>
      </c>
      <c r="O193" s="39" t="s">
        <v>188</v>
      </c>
    </row>
    <row r="194" spans="1:15" x14ac:dyDescent="0.25">
      <c r="A194" t="s">
        <v>164</v>
      </c>
      <c r="C194" s="52">
        <f ca="1">IRR(E194:O194)</f>
        <v>0.30622923184019424</v>
      </c>
      <c r="E194" s="1">
        <f>-'LBO VALUATION DRIVERS'!B54</f>
        <v>-5455.8224999999984</v>
      </c>
      <c r="F194" s="34">
        <v>0</v>
      </c>
      <c r="G194" s="34">
        <v>0</v>
      </c>
      <c r="H194" s="34">
        <v>0</v>
      </c>
      <c r="I194" s="34">
        <v>0</v>
      </c>
      <c r="J194" s="34">
        <v>0</v>
      </c>
      <c r="K194" s="34">
        <v>0</v>
      </c>
      <c r="L194" s="34">
        <v>0</v>
      </c>
      <c r="M194" s="34">
        <v>0</v>
      </c>
      <c r="N194" s="34">
        <v>0</v>
      </c>
      <c r="O194" s="28">
        <f ca="1">B190</f>
        <v>78895.860572337406</v>
      </c>
    </row>
    <row r="195" spans="1:15" x14ac:dyDescent="0.25">
      <c r="A195" t="s">
        <v>63</v>
      </c>
      <c r="C195" s="12">
        <f>IRR(E195:M195)</f>
        <v>6.1124299833575702E-2</v>
      </c>
      <c r="E195" s="1">
        <f>-('LBO VALUATION DRIVERS'!B51+'LBO VALUATION DRIVERS'!D42)</f>
        <v>-7800</v>
      </c>
      <c r="F195" s="28">
        <f>-F145</f>
        <v>400</v>
      </c>
      <c r="G195" s="28">
        <f t="shared" ref="G195:O195" si="122">-G145</f>
        <v>440</v>
      </c>
      <c r="H195" s="28">
        <f t="shared" si="122"/>
        <v>440</v>
      </c>
      <c r="I195" s="28">
        <f t="shared" si="122"/>
        <v>480</v>
      </c>
      <c r="J195" s="28">
        <f t="shared" si="122"/>
        <v>480</v>
      </c>
      <c r="K195" s="28">
        <f t="shared" si="122"/>
        <v>480</v>
      </c>
      <c r="L195" s="28">
        <f t="shared" si="122"/>
        <v>480</v>
      </c>
      <c r="M195" s="28">
        <f>-(M145+M143)</f>
        <v>8480</v>
      </c>
      <c r="N195" s="28">
        <f t="shared" si="122"/>
        <v>0</v>
      </c>
      <c r="O195" s="28">
        <f t="shared" si="122"/>
        <v>0</v>
      </c>
    </row>
    <row r="196" spans="1:15" x14ac:dyDescent="0.25">
      <c r="A196" t="s">
        <v>66</v>
      </c>
      <c r="C196" s="12">
        <f>IRR(E196:N196)</f>
        <v>6.6379760947854027E-2</v>
      </c>
      <c r="E196" s="1">
        <f>-('LBO VALUATION DRIVERS'!B52+'LBO VALUATION DRIVERS'!D43)</f>
        <v>-5865</v>
      </c>
      <c r="F196" s="28">
        <f>-F148-F150</f>
        <v>930</v>
      </c>
      <c r="G196" s="28">
        <f t="shared" ref="G196:O196" si="123">-G148-G150</f>
        <v>924</v>
      </c>
      <c r="H196" s="28">
        <f t="shared" si="123"/>
        <v>888</v>
      </c>
      <c r="I196" s="28">
        <f t="shared" si="123"/>
        <v>873</v>
      </c>
      <c r="J196" s="28">
        <f t="shared" si="123"/>
        <v>834</v>
      </c>
      <c r="K196" s="28">
        <f t="shared" si="123"/>
        <v>795</v>
      </c>
      <c r="L196" s="28">
        <f t="shared" si="123"/>
        <v>756</v>
      </c>
      <c r="M196" s="28">
        <f t="shared" si="123"/>
        <v>717</v>
      </c>
      <c r="N196" s="28">
        <f>-N148-N150</f>
        <v>1278</v>
      </c>
      <c r="O196" s="28">
        <f t="shared" si="123"/>
        <v>0</v>
      </c>
    </row>
    <row r="197" spans="1:15" x14ac:dyDescent="0.25">
      <c r="A197" t="s">
        <v>67</v>
      </c>
      <c r="C197" s="12">
        <f>IRR(E197:O197)</f>
        <v>7.0505791023386832E-2</v>
      </c>
      <c r="E197" s="1">
        <f>-('LBO VALUATION DRIVERS'!B53+'LBO VALUATION DRIVERS'!D44)</f>
        <v>-5880</v>
      </c>
      <c r="F197" s="28">
        <f>-F153-F155</f>
        <v>660</v>
      </c>
      <c r="G197" s="28">
        <f t="shared" ref="G197:O197" si="124">-G153-G155</f>
        <v>670.5</v>
      </c>
      <c r="H197" s="28">
        <f t="shared" si="124"/>
        <v>651</v>
      </c>
      <c r="I197" s="28">
        <f t="shared" si="124"/>
        <v>657</v>
      </c>
      <c r="J197" s="28">
        <f t="shared" si="124"/>
        <v>636</v>
      </c>
      <c r="K197" s="28">
        <f t="shared" si="124"/>
        <v>615</v>
      </c>
      <c r="L197" s="28">
        <f t="shared" si="124"/>
        <v>594</v>
      </c>
      <c r="M197" s="28">
        <f t="shared" si="124"/>
        <v>573</v>
      </c>
      <c r="N197" s="28">
        <f t="shared" si="124"/>
        <v>552</v>
      </c>
      <c r="O197" s="28">
        <f t="shared" si="124"/>
        <v>3531</v>
      </c>
    </row>
    <row r="200" spans="1:15" ht="15.75" x14ac:dyDescent="0.25">
      <c r="A200" s="9" t="s">
        <v>168</v>
      </c>
      <c r="B200" s="4"/>
      <c r="C200" s="4"/>
      <c r="D200" s="55" t="s">
        <v>175</v>
      </c>
      <c r="E200" s="55"/>
      <c r="F200" s="55"/>
      <c r="G200" s="55"/>
      <c r="H200" s="55"/>
    </row>
    <row r="201" spans="1:15" x14ac:dyDescent="0.25">
      <c r="A201" t="s">
        <v>173</v>
      </c>
      <c r="B201" s="52">
        <f ca="1">C194</f>
        <v>0.30622923184019424</v>
      </c>
      <c r="C201" s="12">
        <v>0.12</v>
      </c>
      <c r="D201" s="12">
        <v>0.15</v>
      </c>
      <c r="E201" s="53">
        <v>0.18</v>
      </c>
      <c r="F201" s="12">
        <v>0.21</v>
      </c>
      <c r="G201" s="12">
        <v>0.24</v>
      </c>
      <c r="H201" s="35">
        <v>0.27</v>
      </c>
      <c r="I201" s="35">
        <v>0.3</v>
      </c>
      <c r="J201" s="35">
        <v>0.33</v>
      </c>
    </row>
    <row r="202" spans="1:15" x14ac:dyDescent="0.25">
      <c r="A202" s="56" t="s">
        <v>174</v>
      </c>
      <c r="B202" s="54">
        <f>B186</f>
        <v>11.38989516844909</v>
      </c>
      <c r="C202" s="13">
        <f t="dataTable" ref="C202:J203" dt2D="1" dtr="1" r1="F4" r2="B186" ca="1"/>
        <v>0.29725229617485072</v>
      </c>
      <c r="D202" s="13">
        <v>0.30181039400925491</v>
      </c>
      <c r="E202" s="52">
        <v>0.30622923126204338</v>
      </c>
      <c r="F202" s="13">
        <v>0.31051306556666436</v>
      </c>
      <c r="G202" s="13">
        <v>0.31467270125605307</v>
      </c>
      <c r="H202" s="13">
        <v>0.31871715645041188</v>
      </c>
      <c r="I202" s="13">
        <v>0.32264704922888998</v>
      </c>
      <c r="J202" s="13">
        <v>0.32645739609952606</v>
      </c>
    </row>
    <row r="203" spans="1:15" x14ac:dyDescent="0.25">
      <c r="A203" s="56"/>
      <c r="B203" s="36">
        <v>13</v>
      </c>
      <c r="C203" s="13">
        <v>0.31779472948193521</v>
      </c>
      <c r="D203" s="13">
        <v>0.3222594751981136</v>
      </c>
      <c r="E203" s="13">
        <v>0.32659252932068683</v>
      </c>
      <c r="F203" s="13">
        <v>0.33079797482199602</v>
      </c>
      <c r="G203" s="13">
        <v>0.33488557630794169</v>
      </c>
      <c r="H203" s="13">
        <v>0.33886353904657929</v>
      </c>
      <c r="I203" s="13">
        <v>0.34273272778430663</v>
      </c>
      <c r="J203" s="13">
        <v>0.34648908488225594</v>
      </c>
    </row>
    <row r="204" spans="1:15" x14ac:dyDescent="0.25">
      <c r="B204" s="36"/>
      <c r="C204" s="13"/>
      <c r="D204" s="13"/>
      <c r="E204" s="13"/>
      <c r="F204" s="13"/>
      <c r="G204" s="13"/>
    </row>
    <row r="205" spans="1:15" x14ac:dyDescent="0.25">
      <c r="B205" s="36"/>
      <c r="C205" s="13"/>
      <c r="D205" s="13"/>
      <c r="E205" s="13"/>
      <c r="F205" s="13"/>
      <c r="G205" s="13"/>
    </row>
    <row r="206" spans="1:15" x14ac:dyDescent="0.25">
      <c r="B206" s="36"/>
      <c r="C206" s="13"/>
      <c r="D206" s="37"/>
      <c r="E206" s="13"/>
      <c r="F206" s="13"/>
      <c r="G206" s="13"/>
      <c r="K206" s="35"/>
    </row>
  </sheetData>
  <sortState columnSort="1" ref="B74:D76">
    <sortCondition ref="B74:D74"/>
  </sortState>
  <mergeCells count="2">
    <mergeCell ref="A202:A203"/>
    <mergeCell ref="D200:H20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LBO VALUATION DRIVERS</vt:lpstr>
      <vt:lpstr>LBO VALUATION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2024-10-05T15:35:24Z</dcterms:created>
  <dcterms:modified xsi:type="dcterms:W3CDTF">2024-10-10T11:01:55Z</dcterms:modified>
</cp:coreProperties>
</file>