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 activeTab="2"/>
  </bookViews>
  <sheets>
    <sheet name="INTRODUCTION" sheetId="6" r:id="rId1"/>
    <sheet name="LBO VALUATION DRIVERS" sheetId="5" r:id="rId2"/>
    <sheet name="LBO VALUATION MODEL" sheetId="4" r:id="rId3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4" i="4" l="1"/>
  <c r="O15" i="4" l="1"/>
  <c r="N15" i="4"/>
  <c r="M15" i="4"/>
  <c r="L15" i="4"/>
  <c r="K15" i="4"/>
  <c r="J15" i="4"/>
  <c r="I15" i="4"/>
  <c r="H15" i="4"/>
  <c r="G15" i="4"/>
  <c r="F15" i="4"/>
  <c r="B52" i="5"/>
  <c r="B17" i="5"/>
  <c r="E49" i="4" l="1"/>
  <c r="E52" i="4"/>
  <c r="E56" i="4"/>
  <c r="B59" i="5" l="1"/>
  <c r="B69" i="5" s="1"/>
  <c r="F20" i="4" l="1"/>
  <c r="C174" i="4" l="1"/>
  <c r="O167" i="4"/>
  <c r="N167" i="4"/>
  <c r="M167" i="4"/>
  <c r="L167" i="4"/>
  <c r="K167" i="4"/>
  <c r="J167" i="4"/>
  <c r="I167" i="4"/>
  <c r="H167" i="4"/>
  <c r="G167" i="4"/>
  <c r="O163" i="4"/>
  <c r="N163" i="4"/>
  <c r="M163" i="4"/>
  <c r="L163" i="4"/>
  <c r="K163" i="4"/>
  <c r="J163" i="4"/>
  <c r="I163" i="4"/>
  <c r="H163" i="4"/>
  <c r="G163" i="4"/>
  <c r="F163" i="4"/>
  <c r="F167" i="4"/>
  <c r="O130" i="4"/>
  <c r="N130" i="4"/>
  <c r="M130" i="4"/>
  <c r="L130" i="4"/>
  <c r="K130" i="4"/>
  <c r="J130" i="4"/>
  <c r="I130" i="4"/>
  <c r="H130" i="4"/>
  <c r="G130" i="4"/>
  <c r="F130" i="4"/>
  <c r="O129" i="4"/>
  <c r="N129" i="4"/>
  <c r="M129" i="4"/>
  <c r="L129" i="4"/>
  <c r="K129" i="4"/>
  <c r="J129" i="4"/>
  <c r="I129" i="4"/>
  <c r="H129" i="4"/>
  <c r="G129" i="4"/>
  <c r="F129" i="4"/>
  <c r="O128" i="4"/>
  <c r="N128" i="4"/>
  <c r="M128" i="4"/>
  <c r="L128" i="4"/>
  <c r="K128" i="4"/>
  <c r="J128" i="4"/>
  <c r="I128" i="4"/>
  <c r="H128" i="4"/>
  <c r="G128" i="4"/>
  <c r="F128" i="4"/>
  <c r="O127" i="4"/>
  <c r="N127" i="4"/>
  <c r="M127" i="4"/>
  <c r="L127" i="4"/>
  <c r="K127" i="4"/>
  <c r="J127" i="4"/>
  <c r="I127" i="4"/>
  <c r="H127" i="4"/>
  <c r="G127" i="4"/>
  <c r="F127" i="4"/>
  <c r="D117" i="4" l="1"/>
  <c r="C117" i="4"/>
  <c r="B117" i="4"/>
  <c r="D15" i="4"/>
  <c r="C15" i="4"/>
  <c r="B15" i="4"/>
  <c r="D14" i="4"/>
  <c r="C14" i="4"/>
  <c r="B14" i="4"/>
  <c r="E106" i="4"/>
  <c r="E109" i="4" s="1"/>
  <c r="F106" i="4" s="1"/>
  <c r="E97" i="4" l="1"/>
  <c r="E98" i="4" s="1"/>
  <c r="D91" i="4"/>
  <c r="C91" i="4"/>
  <c r="B91" i="4"/>
  <c r="D90" i="4"/>
  <c r="C90" i="4"/>
  <c r="B90" i="4"/>
  <c r="D89" i="4"/>
  <c r="C89" i="4"/>
  <c r="B89" i="4"/>
  <c r="D92" i="4" l="1"/>
  <c r="B92" i="4"/>
  <c r="C92" i="4"/>
  <c r="D13" i="4"/>
  <c r="C13" i="4"/>
  <c r="B13" i="4"/>
  <c r="D12" i="4"/>
  <c r="C12" i="4"/>
  <c r="B12" i="4"/>
  <c r="D11" i="4"/>
  <c r="C11" i="4"/>
  <c r="B11" i="4"/>
  <c r="D10" i="4"/>
  <c r="C10" i="4"/>
  <c r="B10" i="4"/>
  <c r="D9" i="4"/>
  <c r="C9" i="4"/>
  <c r="C97" i="4" s="1"/>
  <c r="B9" i="4"/>
  <c r="B97" i="4" s="1"/>
  <c r="D8" i="4"/>
  <c r="C8" i="4"/>
  <c r="C96" i="4" s="1"/>
  <c r="B8" i="4"/>
  <c r="B96" i="4" s="1"/>
  <c r="D7" i="4"/>
  <c r="C7" i="4"/>
  <c r="C95" i="4" s="1"/>
  <c r="B7" i="4"/>
  <c r="B95" i="4" s="1"/>
  <c r="C98" i="4" l="1"/>
  <c r="O11" i="4"/>
  <c r="K11" i="4"/>
  <c r="G11" i="4"/>
  <c r="N11" i="4"/>
  <c r="J11" i="4"/>
  <c r="F11" i="4"/>
  <c r="L11" i="4"/>
  <c r="M11" i="4"/>
  <c r="I11" i="4"/>
  <c r="H11" i="4"/>
  <c r="L10" i="4"/>
  <c r="H10" i="4"/>
  <c r="M10" i="4"/>
  <c r="O10" i="4"/>
  <c r="K10" i="4"/>
  <c r="G10" i="4"/>
  <c r="I10" i="4"/>
  <c r="N10" i="4"/>
  <c r="J10" i="4"/>
  <c r="F10" i="4"/>
  <c r="D95" i="4"/>
  <c r="N7" i="4"/>
  <c r="N95" i="4" s="1"/>
  <c r="J7" i="4"/>
  <c r="J95" i="4" s="1"/>
  <c r="F7" i="4"/>
  <c r="F95" i="4" s="1"/>
  <c r="G7" i="4"/>
  <c r="G95" i="4" s="1"/>
  <c r="M7" i="4"/>
  <c r="M95" i="4" s="1"/>
  <c r="I7" i="4"/>
  <c r="I95" i="4" s="1"/>
  <c r="H7" i="4"/>
  <c r="H95" i="4" s="1"/>
  <c r="K7" i="4"/>
  <c r="K95" i="4" s="1"/>
  <c r="L7" i="4"/>
  <c r="L95" i="4" s="1"/>
  <c r="O7" i="4"/>
  <c r="O95" i="4" s="1"/>
  <c r="B98" i="4"/>
  <c r="N97" i="4"/>
  <c r="J97" i="4"/>
  <c r="F97" i="4"/>
  <c r="D97" i="4"/>
  <c r="K97" i="4"/>
  <c r="M97" i="4"/>
  <c r="I97" i="4"/>
  <c r="L97" i="4"/>
  <c r="H97" i="4"/>
  <c r="O97" i="4"/>
  <c r="G97" i="4"/>
  <c r="O13" i="4"/>
  <c r="K13" i="4"/>
  <c r="G13" i="4"/>
  <c r="N13" i="4"/>
  <c r="J13" i="4"/>
  <c r="F13" i="4"/>
  <c r="H13" i="4"/>
  <c r="M13" i="4"/>
  <c r="I13" i="4"/>
  <c r="L13" i="4"/>
  <c r="D96" i="4"/>
  <c r="L8" i="4"/>
  <c r="L96" i="4" s="1"/>
  <c r="H8" i="4"/>
  <c r="H96" i="4" s="1"/>
  <c r="I8" i="4"/>
  <c r="I96" i="4" s="1"/>
  <c r="O8" i="4"/>
  <c r="O96" i="4" s="1"/>
  <c r="K8" i="4"/>
  <c r="K96" i="4" s="1"/>
  <c r="G8" i="4"/>
  <c r="G96" i="4" s="1"/>
  <c r="M8" i="4"/>
  <c r="M96" i="4" s="1"/>
  <c r="N8" i="4"/>
  <c r="N96" i="4" s="1"/>
  <c r="J8" i="4"/>
  <c r="J96" i="4" s="1"/>
  <c r="F8" i="4"/>
  <c r="F96" i="4" s="1"/>
  <c r="N12" i="4"/>
  <c r="J12" i="4"/>
  <c r="F12" i="4"/>
  <c r="O12" i="4"/>
  <c r="M12" i="4"/>
  <c r="I12" i="4"/>
  <c r="K12" i="4"/>
  <c r="L12" i="4"/>
  <c r="H12" i="4"/>
  <c r="G12" i="4"/>
  <c r="C57" i="4"/>
  <c r="B57" i="4"/>
  <c r="C48" i="4"/>
  <c r="B48" i="4"/>
  <c r="D51" i="5"/>
  <c r="B83" i="5"/>
  <c r="D77" i="5"/>
  <c r="D75" i="5"/>
  <c r="E75" i="5" s="1"/>
  <c r="E54" i="4" s="1"/>
  <c r="D74" i="5"/>
  <c r="D72" i="5"/>
  <c r="E72" i="5" s="1"/>
  <c r="E51" i="4" s="1"/>
  <c r="D71" i="5"/>
  <c r="E71" i="5" s="1"/>
  <c r="E50" i="4" s="1"/>
  <c r="E91" i="4" s="1"/>
  <c r="D67" i="5"/>
  <c r="E67" i="5" s="1"/>
  <c r="E46" i="4" s="1"/>
  <c r="D66" i="5"/>
  <c r="D65" i="5"/>
  <c r="E65" i="5" s="1"/>
  <c r="E44" i="4" s="1"/>
  <c r="D64" i="5"/>
  <c r="D62" i="5"/>
  <c r="E62" i="5" s="1"/>
  <c r="E41" i="4" s="1"/>
  <c r="D61" i="5"/>
  <c r="E61" i="5" s="1"/>
  <c r="E40" i="4" s="1"/>
  <c r="E90" i="4" s="1"/>
  <c r="D60" i="5"/>
  <c r="E60" i="5" s="1"/>
  <c r="E39" i="4" s="1"/>
  <c r="E89" i="4" s="1"/>
  <c r="D59" i="5"/>
  <c r="E59" i="5" s="1"/>
  <c r="E38" i="4" s="1"/>
  <c r="F161" i="4" s="1"/>
  <c r="C69" i="5"/>
  <c r="B79" i="5"/>
  <c r="D79" i="5" s="1"/>
  <c r="B7" i="5"/>
  <c r="B16" i="5"/>
  <c r="B15" i="5"/>
  <c r="D57" i="4"/>
  <c r="D48" i="4"/>
  <c r="D69" i="5" l="1"/>
  <c r="C59" i="4"/>
  <c r="D59" i="4"/>
  <c r="B59" i="4"/>
  <c r="F98" i="4"/>
  <c r="O98" i="4"/>
  <c r="I98" i="4"/>
  <c r="J98" i="4"/>
  <c r="H98" i="4"/>
  <c r="E92" i="4"/>
  <c r="L98" i="4"/>
  <c r="M98" i="4"/>
  <c r="N98" i="4"/>
  <c r="K98" i="4"/>
  <c r="G98" i="4"/>
  <c r="D98" i="4"/>
  <c r="B4" i="5" l="1"/>
  <c r="B6" i="5" s="1"/>
  <c r="G46" i="5" l="1"/>
  <c r="D46" i="5" s="1"/>
  <c r="G39" i="5"/>
  <c r="D39" i="5" s="1"/>
  <c r="G38" i="5"/>
  <c r="D38" i="5" s="1"/>
  <c r="B82" i="5"/>
  <c r="B84" i="5" s="1"/>
  <c r="B86" i="5" s="1"/>
  <c r="D50" i="5"/>
  <c r="B8" i="5"/>
  <c r="F19" i="4"/>
  <c r="H20" i="4"/>
  <c r="G20" i="4"/>
  <c r="D6" i="4"/>
  <c r="M6" i="4" s="1"/>
  <c r="C6" i="4"/>
  <c r="C26" i="4" s="1"/>
  <c r="B6" i="4"/>
  <c r="B26" i="4" s="1"/>
  <c r="D5" i="4"/>
  <c r="N5" i="4" s="1"/>
  <c r="N22" i="4" s="1"/>
  <c r="C5" i="4"/>
  <c r="C22" i="4" s="1"/>
  <c r="B5" i="4"/>
  <c r="B22" i="4" s="1"/>
  <c r="I20" i="4"/>
  <c r="D4" i="4"/>
  <c r="D20" i="4" s="1"/>
  <c r="C4" i="4"/>
  <c r="C20" i="4" s="1"/>
  <c r="E66" i="5" l="1"/>
  <c r="E45" i="4" s="1"/>
  <c r="E111" i="4" s="1"/>
  <c r="G5" i="4"/>
  <c r="G22" i="4" s="1"/>
  <c r="O5" i="4"/>
  <c r="O22" i="4" s="1"/>
  <c r="F6" i="4"/>
  <c r="F25" i="4" s="1"/>
  <c r="K6" i="4"/>
  <c r="K26" i="4" s="1"/>
  <c r="G6" i="4"/>
  <c r="G26" i="4" s="1"/>
  <c r="L6" i="4"/>
  <c r="L26" i="4" s="1"/>
  <c r="H6" i="4"/>
  <c r="H26" i="4" s="1"/>
  <c r="N6" i="4"/>
  <c r="N26" i="4" s="1"/>
  <c r="K5" i="4"/>
  <c r="K22" i="4" s="1"/>
  <c r="J6" i="4"/>
  <c r="J26" i="4" s="1"/>
  <c r="O6" i="4"/>
  <c r="O26" i="4" s="1"/>
  <c r="D22" i="4"/>
  <c r="F107" i="4"/>
  <c r="F117" i="4"/>
  <c r="F108" i="4" s="1"/>
  <c r="M26" i="4"/>
  <c r="F54" i="4"/>
  <c r="F70" i="4" s="1"/>
  <c r="F89" i="4"/>
  <c r="F51" i="4"/>
  <c r="F68" i="4" s="1"/>
  <c r="F46" i="4"/>
  <c r="F69" i="4" s="1"/>
  <c r="F41" i="4"/>
  <c r="F67" i="4" s="1"/>
  <c r="H5" i="4"/>
  <c r="H22" i="4" s="1"/>
  <c r="L5" i="4"/>
  <c r="L22" i="4" s="1"/>
  <c r="D26" i="4"/>
  <c r="G19" i="4"/>
  <c r="M5" i="4"/>
  <c r="M22" i="4" s="1"/>
  <c r="I5" i="4"/>
  <c r="I22" i="4" s="1"/>
  <c r="F5" i="4"/>
  <c r="F22" i="4" s="1"/>
  <c r="J5" i="4"/>
  <c r="J22" i="4" s="1"/>
  <c r="I6" i="4"/>
  <c r="B23" i="4"/>
  <c r="C23" i="4"/>
  <c r="D23" i="4"/>
  <c r="D24" i="4" s="1"/>
  <c r="F26" i="4" l="1"/>
  <c r="G25" i="4"/>
  <c r="G21" i="4"/>
  <c r="G91" i="4" s="1"/>
  <c r="G50" i="4" s="1"/>
  <c r="D27" i="4"/>
  <c r="D29" i="4" s="1"/>
  <c r="D31" i="4" s="1"/>
  <c r="D33" i="4" s="1"/>
  <c r="G117" i="4"/>
  <c r="G108" i="4" s="1"/>
  <c r="G107" i="4"/>
  <c r="G73" i="4" s="1"/>
  <c r="G74" i="4" s="1"/>
  <c r="G158" i="4" s="1"/>
  <c r="F109" i="4"/>
  <c r="F73" i="4"/>
  <c r="F74" i="4" s="1"/>
  <c r="F158" i="4" s="1"/>
  <c r="F21" i="4"/>
  <c r="J20" i="4"/>
  <c r="G46" i="4"/>
  <c r="G69" i="4" s="1"/>
  <c r="G54" i="4"/>
  <c r="G70" i="4" s="1"/>
  <c r="G89" i="4"/>
  <c r="G41" i="4"/>
  <c r="G67" i="4" s="1"/>
  <c r="G51" i="4"/>
  <c r="G68" i="4" s="1"/>
  <c r="H19" i="4"/>
  <c r="F39" i="4"/>
  <c r="C27" i="4"/>
  <c r="C29" i="4" s="1"/>
  <c r="C31" i="4" s="1"/>
  <c r="C33" i="4" s="1"/>
  <c r="C24" i="4"/>
  <c r="I26" i="4"/>
  <c r="B27" i="4"/>
  <c r="B29" i="4" s="1"/>
  <c r="B31" i="4" s="1"/>
  <c r="B33" i="4" s="1"/>
  <c r="B64" i="4" s="1"/>
  <c r="B24" i="4"/>
  <c r="B9" i="5" l="1"/>
  <c r="B10" i="5" s="1"/>
  <c r="D64" i="4"/>
  <c r="D175" i="4"/>
  <c r="C64" i="4"/>
  <c r="C175" i="4"/>
  <c r="C179" i="4" s="1"/>
  <c r="D174" i="4" s="1"/>
  <c r="G23" i="4"/>
  <c r="G27" i="4" s="1"/>
  <c r="G90" i="4"/>
  <c r="G40" i="4" s="1"/>
  <c r="H117" i="4"/>
  <c r="H108" i="4" s="1"/>
  <c r="H107" i="4"/>
  <c r="H73" i="4" s="1"/>
  <c r="H74" i="4" s="1"/>
  <c r="H158" i="4" s="1"/>
  <c r="F44" i="4"/>
  <c r="G106" i="4"/>
  <c r="G109" i="4" s="1"/>
  <c r="F91" i="4"/>
  <c r="F50" i="4" s="1"/>
  <c r="F90" i="4"/>
  <c r="F23" i="4"/>
  <c r="I19" i="4"/>
  <c r="H89" i="4"/>
  <c r="H46" i="4"/>
  <c r="H69" i="4" s="1"/>
  <c r="H41" i="4"/>
  <c r="H67" i="4" s="1"/>
  <c r="H54" i="4"/>
  <c r="H70" i="4" s="1"/>
  <c r="H51" i="4"/>
  <c r="H68" i="4" s="1"/>
  <c r="H25" i="4"/>
  <c r="G39" i="4"/>
  <c r="K20" i="4"/>
  <c r="H21" i="4"/>
  <c r="H23" i="4" s="1"/>
  <c r="B200" i="4" l="1"/>
  <c r="G92" i="4"/>
  <c r="D179" i="4"/>
  <c r="G24" i="4"/>
  <c r="I107" i="4"/>
  <c r="I73" i="4" s="1"/>
  <c r="I74" i="4" s="1"/>
  <c r="I158" i="4" s="1"/>
  <c r="I117" i="4"/>
  <c r="I108" i="4" s="1"/>
  <c r="G44" i="4"/>
  <c r="H106" i="4"/>
  <c r="H109" i="4" s="1"/>
  <c r="H39" i="4"/>
  <c r="F27" i="4"/>
  <c r="F24" i="4"/>
  <c r="H90" i="4"/>
  <c r="H40" i="4" s="1"/>
  <c r="H91" i="4"/>
  <c r="H50" i="4" s="1"/>
  <c r="J19" i="4"/>
  <c r="I46" i="4"/>
  <c r="I69" i="4" s="1"/>
  <c r="I51" i="4"/>
  <c r="I68" i="4" s="1"/>
  <c r="I89" i="4"/>
  <c r="I54" i="4"/>
  <c r="I70" i="4" s="1"/>
  <c r="I41" i="4"/>
  <c r="I67" i="4" s="1"/>
  <c r="I25" i="4"/>
  <c r="I21" i="4"/>
  <c r="F40" i="4"/>
  <c r="F92" i="4"/>
  <c r="F66" i="4" s="1"/>
  <c r="H27" i="4"/>
  <c r="H24" i="4"/>
  <c r="L20" i="4"/>
  <c r="G66" i="4" l="1"/>
  <c r="J117" i="4"/>
  <c r="J108" i="4" s="1"/>
  <c r="J107" i="4"/>
  <c r="J73" i="4" s="1"/>
  <c r="J74" i="4" s="1"/>
  <c r="J158" i="4" s="1"/>
  <c r="I106" i="4"/>
  <c r="I109" i="4" s="1"/>
  <c r="H44" i="4"/>
  <c r="I91" i="4"/>
  <c r="I50" i="4" s="1"/>
  <c r="I90" i="4"/>
  <c r="I40" i="4" s="1"/>
  <c r="I39" i="4"/>
  <c r="H92" i="4"/>
  <c r="H66" i="4" s="1"/>
  <c r="K19" i="4"/>
  <c r="J41" i="4"/>
  <c r="J67" i="4" s="1"/>
  <c r="J51" i="4"/>
  <c r="J68" i="4" s="1"/>
  <c r="J46" i="4"/>
  <c r="J69" i="4" s="1"/>
  <c r="J89" i="4"/>
  <c r="J54" i="4"/>
  <c r="J70" i="4" s="1"/>
  <c r="J25" i="4"/>
  <c r="J21" i="4"/>
  <c r="J23" i="4" s="1"/>
  <c r="I23" i="4"/>
  <c r="M20" i="4"/>
  <c r="K117" i="4" l="1"/>
  <c r="K108" i="4" s="1"/>
  <c r="K107" i="4"/>
  <c r="K73" i="4" s="1"/>
  <c r="K74" i="4" s="1"/>
  <c r="K158" i="4" s="1"/>
  <c r="J106" i="4"/>
  <c r="J109" i="4" s="1"/>
  <c r="I44" i="4"/>
  <c r="J27" i="4"/>
  <c r="J24" i="4"/>
  <c r="I27" i="4"/>
  <c r="I24" i="4"/>
  <c r="I92" i="4"/>
  <c r="I66" i="4" s="1"/>
  <c r="J90" i="4"/>
  <c r="J40" i="4" s="1"/>
  <c r="J91" i="4"/>
  <c r="J50" i="4" s="1"/>
  <c r="J39" i="4"/>
  <c r="L19" i="4"/>
  <c r="K51" i="4"/>
  <c r="K68" i="4" s="1"/>
  <c r="K41" i="4"/>
  <c r="K67" i="4" s="1"/>
  <c r="K54" i="4"/>
  <c r="K70" i="4" s="1"/>
  <c r="K89" i="4"/>
  <c r="K46" i="4"/>
  <c r="K69" i="4" s="1"/>
  <c r="K25" i="4"/>
  <c r="K21" i="4"/>
  <c r="K23" i="4" s="1"/>
  <c r="O20" i="4"/>
  <c r="N20" i="4"/>
  <c r="K106" i="4" l="1"/>
  <c r="K109" i="4" s="1"/>
  <c r="J44" i="4"/>
  <c r="L117" i="4"/>
  <c r="L108" i="4" s="1"/>
  <c r="L107" i="4"/>
  <c r="L73" i="4" s="1"/>
  <c r="L74" i="4" s="1"/>
  <c r="L158" i="4" s="1"/>
  <c r="K39" i="4"/>
  <c r="M19" i="4"/>
  <c r="L51" i="4"/>
  <c r="L68" i="4" s="1"/>
  <c r="L46" i="4"/>
  <c r="L69" i="4" s="1"/>
  <c r="L89" i="4"/>
  <c r="L54" i="4"/>
  <c r="L70" i="4" s="1"/>
  <c r="L41" i="4"/>
  <c r="L67" i="4" s="1"/>
  <c r="L25" i="4"/>
  <c r="L21" i="4"/>
  <c r="K27" i="4"/>
  <c r="K24" i="4"/>
  <c r="K90" i="4"/>
  <c r="K40" i="4" s="1"/>
  <c r="K91" i="4"/>
  <c r="K50" i="4" s="1"/>
  <c r="J92" i="4"/>
  <c r="J66" i="4" s="1"/>
  <c r="K44" i="4" l="1"/>
  <c r="L106" i="4"/>
  <c r="L109" i="4" s="1"/>
  <c r="M107" i="4"/>
  <c r="M73" i="4" s="1"/>
  <c r="M74" i="4" s="1"/>
  <c r="M158" i="4" s="1"/>
  <c r="M117" i="4"/>
  <c r="M108" i="4" s="1"/>
  <c r="L90" i="4"/>
  <c r="L40" i="4" s="1"/>
  <c r="L91" i="4"/>
  <c r="L50" i="4" s="1"/>
  <c r="N19" i="4"/>
  <c r="M89" i="4"/>
  <c r="M51" i="4"/>
  <c r="M68" i="4" s="1"/>
  <c r="M54" i="4"/>
  <c r="M70" i="4" s="1"/>
  <c r="M46" i="4"/>
  <c r="M69" i="4" s="1"/>
  <c r="M41" i="4"/>
  <c r="M67" i="4" s="1"/>
  <c r="M25" i="4"/>
  <c r="M21" i="4"/>
  <c r="L39" i="4"/>
  <c r="K92" i="4"/>
  <c r="K66" i="4" s="1"/>
  <c r="L23" i="4"/>
  <c r="M106" i="4" l="1"/>
  <c r="M109" i="4" s="1"/>
  <c r="L44" i="4"/>
  <c r="N117" i="4"/>
  <c r="N108" i="4" s="1"/>
  <c r="N107" i="4"/>
  <c r="N73" i="4" s="1"/>
  <c r="N74" i="4" s="1"/>
  <c r="N158" i="4" s="1"/>
  <c r="M39" i="4"/>
  <c r="L27" i="4"/>
  <c r="L24" i="4"/>
  <c r="M90" i="4"/>
  <c r="M40" i="4" s="1"/>
  <c r="M91" i="4"/>
  <c r="M50" i="4" s="1"/>
  <c r="O19" i="4"/>
  <c r="N46" i="4"/>
  <c r="N69" i="4" s="1"/>
  <c r="N89" i="4"/>
  <c r="N51" i="4"/>
  <c r="N68" i="4" s="1"/>
  <c r="N54" i="4"/>
  <c r="N70" i="4" s="1"/>
  <c r="N41" i="4"/>
  <c r="N67" i="4" s="1"/>
  <c r="N21" i="4"/>
  <c r="N25" i="4"/>
  <c r="L92" i="4"/>
  <c r="L66" i="4" s="1"/>
  <c r="M23" i="4"/>
  <c r="O117" i="4" l="1"/>
  <c r="O108" i="4" s="1"/>
  <c r="O107" i="4"/>
  <c r="O73" i="4" s="1"/>
  <c r="O74" i="4" s="1"/>
  <c r="O158" i="4" s="1"/>
  <c r="M44" i="4"/>
  <c r="N106" i="4"/>
  <c r="N109" i="4" s="1"/>
  <c r="O54" i="4"/>
  <c r="O70" i="4" s="1"/>
  <c r="O41" i="4"/>
  <c r="O67" i="4" s="1"/>
  <c r="O89" i="4"/>
  <c r="O46" i="4"/>
  <c r="O69" i="4" s="1"/>
  <c r="O51" i="4"/>
  <c r="O68" i="4" s="1"/>
  <c r="O25" i="4"/>
  <c r="O21" i="4"/>
  <c r="N91" i="4"/>
  <c r="N50" i="4" s="1"/>
  <c r="N90" i="4"/>
  <c r="N40" i="4" s="1"/>
  <c r="M27" i="4"/>
  <c r="M24" i="4"/>
  <c r="N23" i="4"/>
  <c r="N39" i="4"/>
  <c r="M92" i="4"/>
  <c r="M66" i="4" s="1"/>
  <c r="O106" i="4" l="1"/>
  <c r="O109" i="4" s="1"/>
  <c r="O44" i="4" s="1"/>
  <c r="N44" i="4"/>
  <c r="N92" i="4"/>
  <c r="N66" i="4" s="1"/>
  <c r="O91" i="4"/>
  <c r="O50" i="4" s="1"/>
  <c r="O90" i="4"/>
  <c r="O40" i="4" s="1"/>
  <c r="O39" i="4"/>
  <c r="O23" i="4"/>
  <c r="N27" i="4"/>
  <c r="N24" i="4"/>
  <c r="O27" i="4" l="1"/>
  <c r="O24" i="4"/>
  <c r="O92" i="4"/>
  <c r="O66" i="4" s="1"/>
  <c r="B183" i="4" l="1"/>
  <c r="B185" i="4" s="1"/>
  <c r="E114" i="4" l="1"/>
  <c r="F111" i="4" s="1"/>
  <c r="F114" i="4" s="1"/>
  <c r="G111" i="4" l="1"/>
  <c r="G114" i="4" s="1"/>
  <c r="G45" i="4" s="1"/>
  <c r="F45" i="4"/>
  <c r="H111" i="4" l="1"/>
  <c r="H114" i="4" s="1"/>
  <c r="H45" i="4" s="1"/>
  <c r="I111" i="4" l="1"/>
  <c r="I114" i="4" s="1"/>
  <c r="I45" i="4" s="1"/>
  <c r="J111" i="4" l="1"/>
  <c r="J114" i="4" s="1"/>
  <c r="J45" i="4" s="1"/>
  <c r="K111" i="4" l="1"/>
  <c r="K114" i="4" s="1"/>
  <c r="L111" i="4" s="1"/>
  <c r="L114" i="4" s="1"/>
  <c r="K45" i="4" l="1"/>
  <c r="L45" i="4"/>
  <c r="M111" i="4"/>
  <c r="M114" i="4" s="1"/>
  <c r="M45" i="4" l="1"/>
  <c r="N111" i="4"/>
  <c r="N114" i="4" s="1"/>
  <c r="N45" i="4" l="1"/>
  <c r="O111" i="4"/>
  <c r="O114" i="4" s="1"/>
  <c r="O45" i="4" s="1"/>
  <c r="G43" i="5" l="1"/>
  <c r="D43" i="5" s="1"/>
  <c r="F145" i="4"/>
  <c r="F146" i="4"/>
  <c r="G146" i="4"/>
  <c r="H146" i="4"/>
  <c r="I146" i="4"/>
  <c r="J146" i="4"/>
  <c r="K146" i="4"/>
  <c r="L146" i="4"/>
  <c r="M146" i="4"/>
  <c r="N146" i="4"/>
  <c r="F148" i="4"/>
  <c r="E194" i="4"/>
  <c r="F194" i="4"/>
  <c r="F147" i="4" l="1"/>
  <c r="G145" i="4" l="1"/>
  <c r="G147" i="4" l="1"/>
  <c r="G148" i="4"/>
  <c r="G194" i="4" l="1"/>
  <c r="H145" i="4"/>
  <c r="H148" i="4" l="1"/>
  <c r="H147" i="4"/>
  <c r="I145" i="4" l="1"/>
  <c r="H194" i="4"/>
  <c r="I148" i="4" l="1"/>
  <c r="I147" i="4"/>
  <c r="J145" i="4" l="1"/>
  <c r="I194" i="4"/>
  <c r="J147" i="4" l="1"/>
  <c r="J148" i="4"/>
  <c r="J194" i="4" l="1"/>
  <c r="K145" i="4"/>
  <c r="K147" i="4" l="1"/>
  <c r="K148" i="4"/>
  <c r="K194" i="4" l="1"/>
  <c r="L145" i="4"/>
  <c r="L148" i="4" l="1"/>
  <c r="L147" i="4"/>
  <c r="M145" i="4" l="1"/>
  <c r="L194" i="4"/>
  <c r="M148" i="4" l="1"/>
  <c r="M147" i="4"/>
  <c r="M194" i="4" l="1"/>
  <c r="N145" i="4"/>
  <c r="N147" i="4" l="1"/>
  <c r="N148" i="4"/>
  <c r="N194" i="4" l="1"/>
  <c r="C194" i="4" s="1"/>
  <c r="O145" i="4"/>
  <c r="O146" i="4" l="1"/>
  <c r="O148" i="4"/>
  <c r="O194" i="4" l="1"/>
  <c r="O147" i="4"/>
  <c r="B35" i="5"/>
  <c r="D42" i="5"/>
  <c r="G42" i="5"/>
  <c r="D44" i="5"/>
  <c r="G44" i="5"/>
  <c r="B51" i="5"/>
  <c r="D52" i="5"/>
  <c r="B53" i="5"/>
  <c r="B54" i="5"/>
  <c r="B55" i="5"/>
  <c r="D55" i="5"/>
  <c r="E64" i="5"/>
  <c r="E69" i="5"/>
  <c r="E74" i="5"/>
  <c r="E77" i="5"/>
  <c r="E79" i="5"/>
  <c r="F28" i="4"/>
  <c r="G28" i="4"/>
  <c r="H28" i="4"/>
  <c r="I28" i="4"/>
  <c r="J28" i="4"/>
  <c r="K28" i="4"/>
  <c r="L28" i="4"/>
  <c r="M28" i="4"/>
  <c r="N28" i="4"/>
  <c r="O28" i="4"/>
  <c r="F29" i="4"/>
  <c r="G29" i="4"/>
  <c r="H29" i="4"/>
  <c r="I29" i="4"/>
  <c r="J29" i="4"/>
  <c r="K29" i="4"/>
  <c r="L29" i="4"/>
  <c r="M29" i="4"/>
  <c r="N29" i="4"/>
  <c r="O29" i="4"/>
  <c r="F30" i="4"/>
  <c r="G30" i="4"/>
  <c r="H30" i="4"/>
  <c r="I30" i="4"/>
  <c r="J30" i="4"/>
  <c r="K30" i="4"/>
  <c r="L30" i="4"/>
  <c r="M30" i="4"/>
  <c r="N30" i="4"/>
  <c r="O30" i="4"/>
  <c r="F31" i="4"/>
  <c r="G31" i="4"/>
  <c r="H31" i="4"/>
  <c r="I31" i="4"/>
  <c r="J31" i="4"/>
  <c r="K31" i="4"/>
  <c r="L31" i="4"/>
  <c r="M31" i="4"/>
  <c r="N31" i="4"/>
  <c r="O31" i="4"/>
  <c r="F32" i="4"/>
  <c r="G32" i="4"/>
  <c r="H32" i="4"/>
  <c r="I32" i="4"/>
  <c r="J32" i="4"/>
  <c r="K32" i="4"/>
  <c r="L32" i="4"/>
  <c r="M32" i="4"/>
  <c r="N32" i="4"/>
  <c r="O32" i="4"/>
  <c r="F33" i="4"/>
  <c r="G33" i="4"/>
  <c r="H33" i="4"/>
  <c r="I33" i="4"/>
  <c r="J33" i="4"/>
  <c r="K33" i="4"/>
  <c r="L33" i="4"/>
  <c r="M33" i="4"/>
  <c r="N33" i="4"/>
  <c r="O33" i="4"/>
  <c r="F38" i="4"/>
  <c r="G38" i="4"/>
  <c r="H38" i="4"/>
  <c r="I38" i="4"/>
  <c r="J38" i="4"/>
  <c r="K38" i="4"/>
  <c r="L38" i="4"/>
  <c r="M38" i="4"/>
  <c r="N38" i="4"/>
  <c r="O38" i="4"/>
  <c r="E43" i="4"/>
  <c r="F43" i="4"/>
  <c r="G43" i="4"/>
  <c r="H43" i="4"/>
  <c r="I43" i="4"/>
  <c r="J43" i="4"/>
  <c r="K43" i="4"/>
  <c r="L43" i="4"/>
  <c r="M43" i="4"/>
  <c r="N43" i="4"/>
  <c r="O43" i="4"/>
  <c r="E48" i="4"/>
  <c r="F48" i="4"/>
  <c r="G48" i="4"/>
  <c r="H48" i="4"/>
  <c r="I48" i="4"/>
  <c r="J48" i="4"/>
  <c r="K48" i="4"/>
  <c r="L48" i="4"/>
  <c r="M48" i="4"/>
  <c r="N48" i="4"/>
  <c r="O48" i="4"/>
  <c r="E53" i="4"/>
  <c r="F53" i="4"/>
  <c r="G53" i="4"/>
  <c r="H53" i="4"/>
  <c r="I53" i="4"/>
  <c r="J53" i="4"/>
  <c r="K53" i="4"/>
  <c r="L53" i="4"/>
  <c r="M53" i="4"/>
  <c r="N53" i="4"/>
  <c r="O53" i="4"/>
  <c r="E55" i="4"/>
  <c r="F55" i="4"/>
  <c r="G55" i="4"/>
  <c r="H55" i="4"/>
  <c r="I55" i="4"/>
  <c r="J55" i="4"/>
  <c r="K55" i="4"/>
  <c r="L55" i="4"/>
  <c r="M55" i="4"/>
  <c r="N55" i="4"/>
  <c r="O55" i="4"/>
  <c r="E57" i="4"/>
  <c r="F57" i="4"/>
  <c r="G57" i="4"/>
  <c r="H57" i="4"/>
  <c r="I57" i="4"/>
  <c r="J57" i="4"/>
  <c r="K57" i="4"/>
  <c r="L57" i="4"/>
  <c r="M57" i="4"/>
  <c r="N57" i="4"/>
  <c r="O57" i="4"/>
  <c r="E59" i="4"/>
  <c r="F59" i="4"/>
  <c r="G59" i="4"/>
  <c r="H59" i="4"/>
  <c r="I59" i="4"/>
  <c r="J59" i="4"/>
  <c r="K59" i="4"/>
  <c r="L59" i="4"/>
  <c r="M59" i="4"/>
  <c r="N59" i="4"/>
  <c r="O59" i="4"/>
  <c r="F64" i="4"/>
  <c r="G64" i="4"/>
  <c r="H64" i="4"/>
  <c r="I64" i="4"/>
  <c r="J64" i="4"/>
  <c r="K64" i="4"/>
  <c r="L64" i="4"/>
  <c r="M64" i="4"/>
  <c r="N64" i="4"/>
  <c r="O64" i="4"/>
  <c r="F65" i="4"/>
  <c r="G65" i="4"/>
  <c r="H65" i="4"/>
  <c r="I65" i="4"/>
  <c r="J65" i="4"/>
  <c r="K65" i="4"/>
  <c r="L65" i="4"/>
  <c r="M65" i="4"/>
  <c r="N65" i="4"/>
  <c r="O65" i="4"/>
  <c r="F71" i="4"/>
  <c r="G71" i="4"/>
  <c r="H71" i="4"/>
  <c r="I71" i="4"/>
  <c r="J71" i="4"/>
  <c r="K71" i="4"/>
  <c r="L71" i="4"/>
  <c r="M71" i="4"/>
  <c r="N71" i="4"/>
  <c r="O71" i="4"/>
  <c r="F76" i="4"/>
  <c r="G76" i="4"/>
  <c r="H76" i="4"/>
  <c r="I76" i="4"/>
  <c r="J76" i="4"/>
  <c r="K76" i="4"/>
  <c r="L76" i="4"/>
  <c r="M76" i="4"/>
  <c r="N76" i="4"/>
  <c r="O76" i="4"/>
  <c r="F78" i="4"/>
  <c r="G78" i="4"/>
  <c r="H78" i="4"/>
  <c r="I78" i="4"/>
  <c r="J78" i="4"/>
  <c r="K78" i="4"/>
  <c r="L78" i="4"/>
  <c r="M78" i="4"/>
  <c r="N78" i="4"/>
  <c r="O78" i="4"/>
  <c r="F82" i="4"/>
  <c r="G82" i="4"/>
  <c r="H82" i="4"/>
  <c r="I82" i="4"/>
  <c r="J82" i="4"/>
  <c r="K82" i="4"/>
  <c r="L82" i="4"/>
  <c r="M82" i="4"/>
  <c r="N82" i="4"/>
  <c r="O82" i="4"/>
  <c r="F84" i="4"/>
  <c r="G84" i="4"/>
  <c r="H84" i="4"/>
  <c r="I84" i="4"/>
  <c r="J84" i="4"/>
  <c r="K84" i="4"/>
  <c r="L84" i="4"/>
  <c r="M84" i="4"/>
  <c r="N84" i="4"/>
  <c r="O84" i="4"/>
  <c r="E102" i="4"/>
  <c r="F102" i="4"/>
  <c r="G102" i="4"/>
  <c r="H102" i="4"/>
  <c r="I102" i="4"/>
  <c r="J102" i="4"/>
  <c r="K102" i="4"/>
  <c r="L102" i="4"/>
  <c r="M102" i="4"/>
  <c r="N102" i="4"/>
  <c r="O102" i="4"/>
  <c r="F120" i="4"/>
  <c r="G120" i="4"/>
  <c r="H120" i="4"/>
  <c r="I120" i="4"/>
  <c r="J120" i="4"/>
  <c r="K120" i="4"/>
  <c r="L120" i="4"/>
  <c r="M120" i="4"/>
  <c r="N120" i="4"/>
  <c r="O120" i="4"/>
  <c r="F140" i="4"/>
  <c r="G140" i="4"/>
  <c r="H140" i="4"/>
  <c r="I140" i="4"/>
  <c r="J140" i="4"/>
  <c r="K140" i="4"/>
  <c r="L140" i="4"/>
  <c r="M140" i="4"/>
  <c r="N140" i="4"/>
  <c r="O140" i="4"/>
  <c r="M141" i="4"/>
  <c r="N141" i="4"/>
  <c r="O141" i="4"/>
  <c r="F142" i="4"/>
  <c r="G142" i="4"/>
  <c r="H142" i="4"/>
  <c r="I142" i="4"/>
  <c r="J142" i="4"/>
  <c r="K142" i="4"/>
  <c r="L142" i="4"/>
  <c r="M142" i="4"/>
  <c r="N142" i="4"/>
  <c r="O142" i="4"/>
  <c r="F143" i="4"/>
  <c r="G143" i="4"/>
  <c r="H143" i="4"/>
  <c r="I143" i="4"/>
  <c r="J143" i="4"/>
  <c r="K143" i="4"/>
  <c r="L143" i="4"/>
  <c r="M143" i="4"/>
  <c r="N143" i="4"/>
  <c r="O143" i="4"/>
  <c r="F150" i="4"/>
  <c r="G150" i="4"/>
  <c r="H150" i="4"/>
  <c r="I150" i="4"/>
  <c r="J150" i="4"/>
  <c r="K150" i="4"/>
  <c r="L150" i="4"/>
  <c r="M150" i="4"/>
  <c r="N150" i="4"/>
  <c r="O150" i="4"/>
  <c r="F151" i="4"/>
  <c r="G151" i="4"/>
  <c r="H151" i="4"/>
  <c r="I151" i="4"/>
  <c r="J151" i="4"/>
  <c r="K151" i="4"/>
  <c r="L151" i="4"/>
  <c r="M151" i="4"/>
  <c r="N151" i="4"/>
  <c r="O151" i="4"/>
  <c r="F152" i="4"/>
  <c r="G152" i="4"/>
  <c r="H152" i="4"/>
  <c r="I152" i="4"/>
  <c r="J152" i="4"/>
  <c r="K152" i="4"/>
  <c r="L152" i="4"/>
  <c r="M152" i="4"/>
  <c r="N152" i="4"/>
  <c r="O152" i="4"/>
  <c r="F153" i="4"/>
  <c r="G153" i="4"/>
  <c r="H153" i="4"/>
  <c r="I153" i="4"/>
  <c r="J153" i="4"/>
  <c r="K153" i="4"/>
  <c r="L153" i="4"/>
  <c r="M153" i="4"/>
  <c r="N153" i="4"/>
  <c r="O153" i="4"/>
  <c r="F157" i="4"/>
  <c r="G157" i="4"/>
  <c r="H157" i="4"/>
  <c r="I157" i="4"/>
  <c r="J157" i="4"/>
  <c r="K157" i="4"/>
  <c r="L157" i="4"/>
  <c r="M157" i="4"/>
  <c r="N157" i="4"/>
  <c r="O157" i="4"/>
  <c r="F159" i="4"/>
  <c r="G159" i="4"/>
  <c r="H159" i="4"/>
  <c r="I159" i="4"/>
  <c r="J159" i="4"/>
  <c r="K159" i="4"/>
  <c r="L159" i="4"/>
  <c r="M159" i="4"/>
  <c r="N159" i="4"/>
  <c r="O159" i="4"/>
  <c r="F160" i="4"/>
  <c r="G160" i="4"/>
  <c r="H160" i="4"/>
  <c r="I160" i="4"/>
  <c r="J160" i="4"/>
  <c r="K160" i="4"/>
  <c r="L160" i="4"/>
  <c r="M160" i="4"/>
  <c r="N160" i="4"/>
  <c r="O160" i="4"/>
  <c r="G161" i="4"/>
  <c r="H161" i="4"/>
  <c r="I161" i="4"/>
  <c r="J161" i="4"/>
  <c r="K161" i="4"/>
  <c r="L161" i="4"/>
  <c r="M161" i="4"/>
  <c r="N161" i="4"/>
  <c r="O161" i="4"/>
  <c r="F162" i="4"/>
  <c r="G162" i="4"/>
  <c r="H162" i="4"/>
  <c r="I162" i="4"/>
  <c r="J162" i="4"/>
  <c r="K162" i="4"/>
  <c r="L162" i="4"/>
  <c r="M162" i="4"/>
  <c r="N162" i="4"/>
  <c r="O162" i="4"/>
  <c r="F164" i="4"/>
  <c r="G164" i="4"/>
  <c r="H164" i="4"/>
  <c r="I164" i="4"/>
  <c r="J164" i="4"/>
  <c r="K164" i="4"/>
  <c r="L164" i="4"/>
  <c r="M164" i="4"/>
  <c r="N164" i="4"/>
  <c r="O164" i="4"/>
  <c r="F166" i="4"/>
  <c r="G166" i="4"/>
  <c r="H166" i="4"/>
  <c r="I166" i="4"/>
  <c r="J166" i="4"/>
  <c r="K166" i="4"/>
  <c r="L166" i="4"/>
  <c r="M166" i="4"/>
  <c r="N166" i="4"/>
  <c r="O166" i="4"/>
  <c r="F168" i="4"/>
  <c r="G168" i="4"/>
  <c r="H168" i="4"/>
  <c r="I168" i="4"/>
  <c r="J168" i="4"/>
  <c r="K168" i="4"/>
  <c r="L168" i="4"/>
  <c r="M168" i="4"/>
  <c r="N168" i="4"/>
  <c r="O168" i="4"/>
  <c r="F169" i="4"/>
  <c r="G169" i="4"/>
  <c r="H169" i="4"/>
  <c r="I169" i="4"/>
  <c r="J169" i="4"/>
  <c r="K169" i="4"/>
  <c r="L169" i="4"/>
  <c r="M169" i="4"/>
  <c r="N169" i="4"/>
  <c r="O169" i="4"/>
  <c r="F174" i="4"/>
  <c r="G174" i="4"/>
  <c r="H174" i="4"/>
  <c r="I174" i="4"/>
  <c r="J174" i="4"/>
  <c r="K174" i="4"/>
  <c r="L174" i="4"/>
  <c r="M174" i="4"/>
  <c r="N174" i="4"/>
  <c r="O174" i="4"/>
  <c r="F175" i="4"/>
  <c r="G175" i="4"/>
  <c r="H175" i="4"/>
  <c r="I175" i="4"/>
  <c r="J175" i="4"/>
  <c r="K175" i="4"/>
  <c r="L175" i="4"/>
  <c r="M175" i="4"/>
  <c r="N175" i="4"/>
  <c r="O175" i="4"/>
  <c r="E179" i="4"/>
  <c r="F179" i="4"/>
  <c r="G179" i="4"/>
  <c r="H179" i="4"/>
  <c r="I179" i="4"/>
  <c r="J179" i="4"/>
  <c r="K179" i="4"/>
  <c r="L179" i="4"/>
  <c r="M179" i="4"/>
  <c r="N179" i="4"/>
  <c r="O179" i="4"/>
  <c r="B186" i="4"/>
  <c r="B187" i="4"/>
  <c r="B188" i="4"/>
  <c r="C192" i="4"/>
  <c r="E192" i="4"/>
  <c r="O192" i="4"/>
  <c r="C193" i="4"/>
  <c r="E193" i="4"/>
  <c r="F193" i="4"/>
  <c r="G193" i="4"/>
  <c r="H193" i="4"/>
  <c r="I193" i="4"/>
  <c r="J193" i="4"/>
  <c r="K193" i="4"/>
  <c r="L193" i="4"/>
  <c r="M193" i="4"/>
  <c r="N193" i="4"/>
  <c r="O193" i="4"/>
  <c r="C195" i="4"/>
  <c r="E195" i="4"/>
  <c r="F195" i="4"/>
  <c r="G195" i="4"/>
  <c r="H195" i="4"/>
  <c r="I195" i="4"/>
  <c r="J195" i="4"/>
  <c r="K195" i="4"/>
  <c r="L195" i="4"/>
  <c r="M195" i="4"/>
  <c r="N195" i="4"/>
  <c r="O195" i="4"/>
  <c r="B199" i="4"/>
</calcChain>
</file>

<file path=xl/sharedStrings.xml><?xml version="1.0" encoding="utf-8"?>
<sst xmlns="http://schemas.openxmlformats.org/spreadsheetml/2006/main" count="392" uniqueCount="198">
  <si>
    <t>Revenue</t>
  </si>
  <si>
    <t>DRIVERS</t>
  </si>
  <si>
    <t>Base case</t>
  </si>
  <si>
    <t>Cost of goods sold</t>
  </si>
  <si>
    <t>Operating expenses</t>
  </si>
  <si>
    <t>DSO</t>
  </si>
  <si>
    <t>DIO</t>
  </si>
  <si>
    <t>DPO</t>
  </si>
  <si>
    <t>Other current assets</t>
  </si>
  <si>
    <t>Other noncurrent assets</t>
  </si>
  <si>
    <t>Other current liabilities</t>
  </si>
  <si>
    <t>Other noncurrent liabilities</t>
  </si>
  <si>
    <t>Capex % of revenue</t>
  </si>
  <si>
    <t>P&amp;L</t>
  </si>
  <si>
    <t>$ 000s</t>
  </si>
  <si>
    <t>y-o-y growth</t>
  </si>
  <si>
    <t>% of revenue</t>
  </si>
  <si>
    <t>Gross profit</t>
  </si>
  <si>
    <t>% margin</t>
  </si>
  <si>
    <t>EBITDA</t>
  </si>
  <si>
    <t>D&amp;A</t>
  </si>
  <si>
    <t>EBIT</t>
  </si>
  <si>
    <t>Interest expenses</t>
  </si>
  <si>
    <t>EBT</t>
  </si>
  <si>
    <t>Taxes</t>
  </si>
  <si>
    <t>Net income</t>
  </si>
  <si>
    <t>Valuation</t>
  </si>
  <si>
    <t>Drivers</t>
  </si>
  <si>
    <t>Target</t>
  </si>
  <si>
    <t>Acquisition premium</t>
  </si>
  <si>
    <t>Price per share at transaction</t>
  </si>
  <si>
    <t>Diluted shares outstanding</t>
  </si>
  <si>
    <t>Fully diluted shares outstanding</t>
  </si>
  <si>
    <t>Equity at transaction</t>
  </si>
  <si>
    <t>Fiscal year end</t>
  </si>
  <si>
    <t>Net debt</t>
  </si>
  <si>
    <t>LBO date</t>
  </si>
  <si>
    <t>Enterprise value</t>
  </si>
  <si>
    <t>First forecast year</t>
  </si>
  <si>
    <t>Days in year</t>
  </si>
  <si>
    <t>EV/EBITDA entry multiple</t>
  </si>
  <si>
    <t>Currency</t>
  </si>
  <si>
    <t>Reporting units</t>
  </si>
  <si>
    <t>Domestic country</t>
  </si>
  <si>
    <t>FV adjustments:</t>
  </si>
  <si>
    <t>Tax rate</t>
  </si>
  <si>
    <t>Trade receivables</t>
  </si>
  <si>
    <t>Minimum cash balance</t>
  </si>
  <si>
    <t>Inventory</t>
  </si>
  <si>
    <t>PP&amp;E</t>
  </si>
  <si>
    <t>Transaction fees</t>
  </si>
  <si>
    <t>Expensed fees</t>
  </si>
  <si>
    <t>Capitalized fees</t>
  </si>
  <si>
    <t>M&amp;A / Sponsor fees</t>
  </si>
  <si>
    <t>Fees</t>
  </si>
  <si>
    <t>Notes</t>
  </si>
  <si>
    <t>Amort. Period</t>
  </si>
  <si>
    <t>Amount</t>
  </si>
  <si>
    <t>Investment bank fee</t>
  </si>
  <si>
    <t>of Transaction value</t>
  </si>
  <si>
    <t>Sponsor fee</t>
  </si>
  <si>
    <t>Debt financing</t>
  </si>
  <si>
    <t>Senior note</t>
  </si>
  <si>
    <t>of Total principal amount</t>
  </si>
  <si>
    <t>Capitalized</t>
  </si>
  <si>
    <t>Term A</t>
  </si>
  <si>
    <t>Term B</t>
  </si>
  <si>
    <t>Legal fees</t>
  </si>
  <si>
    <t>Sources &amp; Uses of funds</t>
  </si>
  <si>
    <t>Sources of Funds</t>
  </si>
  <si>
    <t>Uses of Funds</t>
  </si>
  <si>
    <t>Excess cash</t>
  </si>
  <si>
    <t>Acquisition price</t>
  </si>
  <si>
    <t>Refinance existing debt</t>
  </si>
  <si>
    <t>Fees &amp; expenses</t>
  </si>
  <si>
    <t>Common equity</t>
  </si>
  <si>
    <t>Total</t>
  </si>
  <si>
    <t>Balance Sheet@Transaction</t>
  </si>
  <si>
    <t>BS prior deal</t>
  </si>
  <si>
    <t>FV adj.</t>
  </si>
  <si>
    <t>Fair Value</t>
  </si>
  <si>
    <t>Target BS post deal</t>
  </si>
  <si>
    <t>Cash</t>
  </si>
  <si>
    <t>Capitalized financing costs</t>
  </si>
  <si>
    <t>Goodwill</t>
  </si>
  <si>
    <t>Total assets</t>
  </si>
  <si>
    <t>Trade payables</t>
  </si>
  <si>
    <t>Financial debt</t>
  </si>
  <si>
    <t>Shareholders' equity</t>
  </si>
  <si>
    <t>Total liabilities &amp; equity</t>
  </si>
  <si>
    <t>Equity purchase price</t>
  </si>
  <si>
    <t>Net book value of assets</t>
  </si>
  <si>
    <t>Excess purchase price</t>
  </si>
  <si>
    <t>Fair value adjustments</t>
  </si>
  <si>
    <t>Balance sheet</t>
  </si>
  <si>
    <t>Closing</t>
  </si>
  <si>
    <t>Check</t>
  </si>
  <si>
    <t>Cash flow</t>
  </si>
  <si>
    <t>Plus: D&amp;A</t>
  </si>
  <si>
    <t>Less: Investments in working capital</t>
  </si>
  <si>
    <t>Operating cash flow</t>
  </si>
  <si>
    <t>Capex</t>
  </si>
  <si>
    <t>Investing cash flow</t>
  </si>
  <si>
    <t>Revolver</t>
  </si>
  <si>
    <t>Debt issuance</t>
  </si>
  <si>
    <t>Debt repayment</t>
  </si>
  <si>
    <t>Equity issuance</t>
  </si>
  <si>
    <t>Equity repurchase</t>
  </si>
  <si>
    <t>Dividends</t>
  </si>
  <si>
    <t>Financing cash flow</t>
  </si>
  <si>
    <t>Net cash flow</t>
  </si>
  <si>
    <t>Working capital</t>
  </si>
  <si>
    <t>Net trade working capital</t>
  </si>
  <si>
    <t>Net cycle</t>
  </si>
  <si>
    <t>Amortization of capitalized financing costs - schedule</t>
  </si>
  <si>
    <t>Fixed assets roll forward</t>
  </si>
  <si>
    <t>PP&amp;E Opening</t>
  </si>
  <si>
    <t>Depreciation</t>
  </si>
  <si>
    <t>PP&amp;E Ending</t>
  </si>
  <si>
    <t>Goodwill Opening</t>
  </si>
  <si>
    <t>Increase Goodwill</t>
  </si>
  <si>
    <t>Impairment</t>
  </si>
  <si>
    <t>Goodwill Ending</t>
  </si>
  <si>
    <t>Amortization - transaction fees</t>
  </si>
  <si>
    <t>Amortization</t>
  </si>
  <si>
    <t>LIBOR curve</t>
  </si>
  <si>
    <t>Interest rates</t>
  </si>
  <si>
    <t>Repayment schedule</t>
  </si>
  <si>
    <t>Financing</t>
  </si>
  <si>
    <t>Senior note - beginning</t>
  </si>
  <si>
    <t>Senior note - repayment</t>
  </si>
  <si>
    <t>Senior note - remaining</t>
  </si>
  <si>
    <t>Senior note - interest expense</t>
  </si>
  <si>
    <t>Term A - beginning</t>
  </si>
  <si>
    <t>Term A - repayment</t>
  </si>
  <si>
    <t>Term A - remaining</t>
  </si>
  <si>
    <t>Term A - interest expense</t>
  </si>
  <si>
    <t>Term B - beginning</t>
  </si>
  <si>
    <t>Term B - repayment</t>
  </si>
  <si>
    <t>Term B - remaining</t>
  </si>
  <si>
    <t>Term B - interest expense</t>
  </si>
  <si>
    <t>Revolver drawdown calculation</t>
  </si>
  <si>
    <t>Financing cash flow (excl. revolver)</t>
  </si>
  <si>
    <t>Cash flow (excl. revolver)</t>
  </si>
  <si>
    <t xml:space="preserve">Opening cash </t>
  </si>
  <si>
    <t>Cash available before revolver</t>
  </si>
  <si>
    <t>Cash surplus/deficit</t>
  </si>
  <si>
    <t>Revolver drawn</t>
  </si>
  <si>
    <t>Revolver repayment</t>
  </si>
  <si>
    <t>Revolver outstanding - ending</t>
  </si>
  <si>
    <t>Revolver interest expense</t>
  </si>
  <si>
    <t>Equity schedule</t>
  </si>
  <si>
    <t>Shareholders equity opening</t>
  </si>
  <si>
    <t>Equity repurchases</t>
  </si>
  <si>
    <t>Issuance of equity</t>
  </si>
  <si>
    <t>Shareholders equity ending</t>
  </si>
  <si>
    <t>Exit valuation</t>
  </si>
  <si>
    <t>EBITDA exit</t>
  </si>
  <si>
    <t>Exit EBITDA multiple</t>
  </si>
  <si>
    <t>Terminal EV</t>
  </si>
  <si>
    <t>Financial liabilities</t>
  </si>
  <si>
    <t>Terminal equity value</t>
  </si>
  <si>
    <t>IRR</t>
  </si>
  <si>
    <t>Equity owners</t>
  </si>
  <si>
    <t>LIBOR+ (spread)</t>
  </si>
  <si>
    <t>Rep. schedule</t>
  </si>
  <si>
    <t>Bullet year</t>
  </si>
  <si>
    <t>Sensitivity Analysis</t>
  </si>
  <si>
    <t>Naira</t>
  </si>
  <si>
    <t>Nigeria</t>
  </si>
  <si>
    <t>Equity owners  IRR</t>
  </si>
  <si>
    <t>EBITDA  entry multiple</t>
  </si>
  <si>
    <t>Revenue growth  rate</t>
  </si>
  <si>
    <t>2022H</t>
  </si>
  <si>
    <t>2023H</t>
  </si>
  <si>
    <t>2025F</t>
  </si>
  <si>
    <t>2026F</t>
  </si>
  <si>
    <t>2027F</t>
  </si>
  <si>
    <t>2028F</t>
  </si>
  <si>
    <t>2029F</t>
  </si>
  <si>
    <t>2030F</t>
  </si>
  <si>
    <t>2031F</t>
  </si>
  <si>
    <t>2032F</t>
  </si>
  <si>
    <t>2033F</t>
  </si>
  <si>
    <t>2034F</t>
  </si>
  <si>
    <t>Listed</t>
  </si>
  <si>
    <t>Nigeria Stock Market</t>
  </si>
  <si>
    <t>BY</t>
  </si>
  <si>
    <t>EMMANUEL IFEANYI EZEJI</t>
  </si>
  <si>
    <t>2024F</t>
  </si>
  <si>
    <t>20221H</t>
  </si>
  <si>
    <r>
      <t>Current</t>
    </r>
    <r>
      <rPr>
        <b/>
        <sz val="12"/>
        <color theme="1"/>
        <rFont val="Calibri"/>
        <family val="2"/>
        <scheme val="minor"/>
      </rPr>
      <t xml:space="preserve"> EEE</t>
    </r>
    <r>
      <rPr>
        <sz val="12"/>
        <color theme="1"/>
        <rFont val="Calibri"/>
        <family val="2"/>
        <scheme val="minor"/>
      </rPr>
      <t xml:space="preserve"> share price</t>
    </r>
  </si>
  <si>
    <t>EEE</t>
  </si>
  <si>
    <t>EEE share price</t>
  </si>
  <si>
    <t>000,000s</t>
  </si>
  <si>
    <t>Depreciation % of revenue</t>
  </si>
  <si>
    <t>LBO VALUATION MODEL OF EEE, A COMPANY CURRENTLY LISTED IN THE NIGERIA STOCK EXCHANGE.</t>
  </si>
  <si>
    <t>(EQUITY AND LBO VALUATION ANALYST)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</si>
</sst>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"/>
    <numFmt numFmtId="169" formatCode="\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rgb="FF00206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sz val="12"/>
      <color rgb="FF002060"/>
      <name val="Calibri"/>
      <family val="2"/>
      <scheme val="minor"/>
    </font>
    <font>
      <sz val="14"/>
      <color rgb="FF00206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1">
    <xf numFmtId="0" fontId="0" fillId="0" borderId="0" xfId="0"/>
    <xf numFmtId="164" fontId="0" fillId="0" borderId="0" xfId="1" applyNumberFormat="1" applyFont="1"/>
    <xf numFmtId="0" fontId="2" fillId="0" borderId="0" xfId="0" applyFont="1"/>
    <xf numFmtId="164" fontId="3" fillId="0" borderId="0" xfId="1" applyNumberFormat="1" applyFont="1" applyAlignment="1">
      <alignment horizontal="left" vertical="center" wrapText="1" indent="1"/>
    </xf>
    <xf numFmtId="0" fontId="4" fillId="0" borderId="0" xfId="0" applyFont="1"/>
    <xf numFmtId="164" fontId="4" fillId="0" borderId="0" xfId="1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6" fillId="2" borderId="0" xfId="0" applyFont="1" applyFill="1"/>
    <xf numFmtId="0" fontId="7" fillId="0" borderId="0" xfId="0" applyFont="1" applyAlignment="1">
      <alignment horizontal="center"/>
    </xf>
    <xf numFmtId="0" fontId="7" fillId="0" borderId="0" xfId="0" applyFont="1"/>
    <xf numFmtId="9" fontId="0" fillId="0" borderId="0" xfId="2" applyFont="1"/>
    <xf numFmtId="165" fontId="0" fillId="0" borderId="0" xfId="2" applyNumberFormat="1" applyFont="1"/>
    <xf numFmtId="9" fontId="4" fillId="0" borderId="0" xfId="2" applyFont="1"/>
    <xf numFmtId="164" fontId="4" fillId="0" borderId="0" xfId="0" applyNumberFormat="1" applyFont="1" applyAlignment="1">
      <alignment horizontal="right"/>
    </xf>
    <xf numFmtId="9" fontId="4" fillId="0" borderId="0" xfId="2" applyFont="1" applyAlignment="1">
      <alignment horizontal="right"/>
    </xf>
    <xf numFmtId="14" fontId="4" fillId="0" borderId="0" xfId="0" applyNumberFormat="1" applyFont="1" applyAlignment="1">
      <alignment horizontal="right"/>
    </xf>
    <xf numFmtId="43" fontId="4" fillId="0" borderId="0" xfId="1" applyFont="1" applyAlignment="1">
      <alignment horizontal="right"/>
    </xf>
    <xf numFmtId="164" fontId="4" fillId="0" borderId="0" xfId="0" applyNumberFormat="1" applyFont="1"/>
    <xf numFmtId="43" fontId="4" fillId="0" borderId="0" xfId="0" applyNumberFormat="1" applyFont="1"/>
    <xf numFmtId="164" fontId="2" fillId="0" borderId="0" xfId="1" applyNumberFormat="1" applyFont="1"/>
    <xf numFmtId="166" fontId="0" fillId="0" borderId="0" xfId="0" applyNumberFormat="1"/>
    <xf numFmtId="164" fontId="7" fillId="0" borderId="0" xfId="1" applyNumberFormat="1" applyFont="1"/>
    <xf numFmtId="0" fontId="8" fillId="0" borderId="0" xfId="0" applyFont="1"/>
    <xf numFmtId="164" fontId="8" fillId="0" borderId="0" xfId="1" applyNumberFormat="1" applyFont="1"/>
    <xf numFmtId="1" fontId="0" fillId="0" borderId="0" xfId="0" applyNumberFormat="1"/>
    <xf numFmtId="1" fontId="8" fillId="0" borderId="0" xfId="0" applyNumberFormat="1" applyFont="1"/>
    <xf numFmtId="164" fontId="0" fillId="0" borderId="0" xfId="0" applyNumberFormat="1"/>
    <xf numFmtId="2" fontId="0" fillId="0" borderId="0" xfId="2" applyNumberFormat="1" applyFont="1"/>
    <xf numFmtId="164" fontId="8" fillId="0" borderId="0" xfId="0" applyNumberFormat="1" applyFont="1"/>
    <xf numFmtId="164" fontId="2" fillId="0" borderId="0" xfId="0" applyNumberFormat="1" applyFont="1"/>
    <xf numFmtId="165" fontId="4" fillId="0" borderId="0" xfId="2" applyNumberFormat="1" applyFont="1"/>
    <xf numFmtId="165" fontId="0" fillId="0" borderId="0" xfId="0" applyNumberFormat="1"/>
    <xf numFmtId="43" fontId="0" fillId="0" borderId="0" xfId="1" applyFont="1"/>
    <xf numFmtId="9" fontId="0" fillId="0" borderId="0" xfId="0" applyNumberFormat="1"/>
    <xf numFmtId="1" fontId="0" fillId="0" borderId="0" xfId="2" applyNumberFormat="1" applyFont="1"/>
    <xf numFmtId="9" fontId="0" fillId="0" borderId="0" xfId="2" applyNumberFormat="1" applyFont="1"/>
    <xf numFmtId="0" fontId="2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0" fillId="0" borderId="0" xfId="0" applyFont="1"/>
    <xf numFmtId="164" fontId="0" fillId="0" borderId="0" xfId="0" applyNumberFormat="1" applyFont="1"/>
    <xf numFmtId="164" fontId="1" fillId="0" borderId="0" xfId="1" applyNumberFormat="1" applyFont="1"/>
    <xf numFmtId="0" fontId="7" fillId="0" borderId="0" xfId="0" applyFont="1" applyAlignment="1">
      <alignment horizontal="right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165" fontId="15" fillId="0" borderId="0" xfId="2" applyNumberFormat="1" applyFont="1"/>
    <xf numFmtId="9" fontId="2" fillId="0" borderId="0" xfId="2" applyFont="1"/>
    <xf numFmtId="1" fontId="2" fillId="0" borderId="0" xfId="2" applyNumberFormat="1" applyFont="1"/>
    <xf numFmtId="164" fontId="7" fillId="0" borderId="0" xfId="0" applyNumberFormat="1" applyFont="1"/>
    <xf numFmtId="165" fontId="19" fillId="0" borderId="0" xfId="2" applyNumberFormat="1" applyFont="1"/>
    <xf numFmtId="169" fontId="0" fillId="0" borderId="0" xfId="0" applyNumberFormat="1"/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4" fillId="0" borderId="0" xfId="0" applyFont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P13"/>
  <sheetViews>
    <sheetView showGridLines="0" workbookViewId="0">
      <selection activeCell="F15" sqref="F15"/>
    </sheetView>
  </sheetViews>
  <sheetFormatPr defaultRowHeight="15" x14ac:dyDescent="0.25"/>
  <sheetData>
    <row r="9" spans="1:16" ht="55.5" customHeight="1" x14ac:dyDescent="0.35">
      <c r="A9" s="59" t="s">
        <v>196</v>
      </c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44"/>
      <c r="P9" s="44"/>
    </row>
    <row r="10" spans="1:16" ht="26.25" x14ac:dyDescent="0.4">
      <c r="A10" s="47" t="s">
        <v>187</v>
      </c>
      <c r="B10" s="45"/>
      <c r="C10" s="45"/>
      <c r="D10" s="45"/>
      <c r="E10" s="45"/>
      <c r="F10" s="45"/>
      <c r="G10" s="45"/>
      <c r="H10" s="45"/>
      <c r="I10" s="45"/>
    </row>
    <row r="11" spans="1:16" ht="26.25" x14ac:dyDescent="0.4">
      <c r="A11" s="59" t="s">
        <v>188</v>
      </c>
      <c r="B11" s="59"/>
      <c r="C11" s="59"/>
      <c r="D11" s="59"/>
      <c r="E11" s="43"/>
      <c r="F11" s="46"/>
      <c r="G11" s="46"/>
      <c r="H11" s="46"/>
      <c r="I11" s="46"/>
    </row>
    <row r="12" spans="1:16" ht="19.5" customHeight="1" x14ac:dyDescent="0.25">
      <c r="A12" s="60" t="s">
        <v>197</v>
      </c>
      <c r="B12" s="60"/>
      <c r="C12" s="60"/>
      <c r="D12" s="49"/>
    </row>
    <row r="13" spans="1:16" ht="18.75" x14ac:dyDescent="0.3">
      <c r="A13" s="50"/>
      <c r="B13" s="50"/>
      <c r="C13" s="50"/>
      <c r="D13" s="48"/>
    </row>
  </sheetData>
  <mergeCells count="2">
    <mergeCell ref="A9:N9"/>
    <mergeCell ref="A11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opLeftCell="A64" zoomScale="115" zoomScaleNormal="115" workbookViewId="0">
      <selection activeCell="D10" sqref="D10"/>
    </sheetView>
  </sheetViews>
  <sheetFormatPr defaultRowHeight="15" x14ac:dyDescent="0.25"/>
  <cols>
    <col min="1" max="1" width="38.85546875" customWidth="1"/>
    <col min="2" max="2" width="30" customWidth="1"/>
    <col min="3" max="3" width="24.5703125" customWidth="1"/>
    <col min="4" max="4" width="14.7109375" customWidth="1"/>
    <col min="5" max="5" width="20.7109375" customWidth="1"/>
    <col min="6" max="6" width="15.28515625" customWidth="1"/>
    <col min="7" max="7" width="12.140625" customWidth="1"/>
  </cols>
  <sheetData>
    <row r="1" spans="1:7" ht="15.75" x14ac:dyDescent="0.25">
      <c r="A1" s="8" t="s">
        <v>26</v>
      </c>
      <c r="B1" s="4"/>
      <c r="C1" s="4"/>
      <c r="D1" s="4"/>
      <c r="E1" s="4"/>
      <c r="F1" s="4"/>
      <c r="G1" s="4"/>
    </row>
    <row r="2" spans="1:7" ht="15.75" x14ac:dyDescent="0.25">
      <c r="A2" s="4" t="s">
        <v>191</v>
      </c>
      <c r="B2" s="4">
        <v>6.05</v>
      </c>
      <c r="C2" s="4"/>
      <c r="D2" s="18"/>
      <c r="E2" s="4"/>
      <c r="F2" s="4"/>
      <c r="G2" s="4"/>
    </row>
    <row r="3" spans="1:7" ht="15.75" x14ac:dyDescent="0.25">
      <c r="A3" s="4" t="s">
        <v>29</v>
      </c>
      <c r="B3" s="13">
        <v>0.3</v>
      </c>
      <c r="C3" s="4"/>
      <c r="D3" s="4"/>
      <c r="E3" s="4"/>
      <c r="F3" s="4"/>
      <c r="G3" s="4"/>
    </row>
    <row r="4" spans="1:7" ht="15.75" x14ac:dyDescent="0.25">
      <c r="A4" s="4" t="s">
        <v>30</v>
      </c>
      <c r="B4" s="4">
        <f>B2*(1+B3)</f>
        <v>7.8650000000000002</v>
      </c>
      <c r="C4" s="4"/>
      <c r="D4" s="4"/>
      <c r="E4" s="4"/>
      <c r="F4" s="4"/>
      <c r="G4" s="4"/>
    </row>
    <row r="5" spans="1:7" ht="15.75" x14ac:dyDescent="0.25">
      <c r="A5" s="4" t="s">
        <v>32</v>
      </c>
      <c r="B5" s="5">
        <v>9200</v>
      </c>
      <c r="C5" s="4"/>
      <c r="D5" s="4"/>
      <c r="E5" s="4"/>
      <c r="F5" s="4"/>
      <c r="G5" s="4"/>
    </row>
    <row r="6" spans="1:7" ht="15.75" x14ac:dyDescent="0.25">
      <c r="A6" s="4" t="s">
        <v>33</v>
      </c>
      <c r="B6" s="5">
        <f>(B4*B5)</f>
        <v>72358</v>
      </c>
      <c r="C6" s="4"/>
      <c r="D6" s="4"/>
      <c r="E6" s="4"/>
      <c r="F6" s="4"/>
      <c r="G6" s="4"/>
    </row>
    <row r="7" spans="1:7" ht="15.75" x14ac:dyDescent="0.25">
      <c r="A7" s="4" t="s">
        <v>35</v>
      </c>
      <c r="B7" s="5">
        <f>'LBO VALUATION MODEL'!D38-'LBO VALUATION MODEL'!D53</f>
        <v>19424.29</v>
      </c>
      <c r="C7" s="4"/>
      <c r="D7" s="4"/>
      <c r="E7" s="4"/>
      <c r="F7" s="4"/>
      <c r="G7" s="4"/>
    </row>
    <row r="8" spans="1:7" ht="15.75" x14ac:dyDescent="0.25">
      <c r="A8" s="4" t="s">
        <v>37</v>
      </c>
      <c r="B8" s="5">
        <f>B6+B7</f>
        <v>91782.290000000008</v>
      </c>
      <c r="C8" s="4"/>
      <c r="D8" s="4"/>
      <c r="E8" s="4"/>
      <c r="F8" s="4"/>
      <c r="G8" s="4"/>
    </row>
    <row r="9" spans="1:7" ht="15.75" x14ac:dyDescent="0.25">
      <c r="A9" s="4" t="s">
        <v>19</v>
      </c>
      <c r="B9" s="5">
        <f>'LBO VALUATION MODEL'!D27</f>
        <v>3636.2699999999995</v>
      </c>
      <c r="C9" s="4"/>
      <c r="D9" s="4"/>
      <c r="E9" s="4"/>
      <c r="F9" s="4"/>
      <c r="G9" s="4"/>
    </row>
    <row r="10" spans="1:7" ht="15.75" x14ac:dyDescent="0.25">
      <c r="A10" s="4" t="s">
        <v>40</v>
      </c>
      <c r="B10" s="5">
        <f>B8/B9</f>
        <v>25.240779700077283</v>
      </c>
      <c r="C10" s="4"/>
      <c r="D10" s="4"/>
      <c r="E10" s="4"/>
      <c r="F10" s="4"/>
      <c r="G10" s="4"/>
    </row>
    <row r="11" spans="1:7" ht="15.75" x14ac:dyDescent="0.25">
      <c r="A11" s="4"/>
      <c r="B11" s="4"/>
      <c r="C11" s="4"/>
      <c r="D11" s="4"/>
      <c r="E11" s="4"/>
      <c r="F11" s="4"/>
      <c r="G11" s="4"/>
    </row>
    <row r="12" spans="1:7" ht="15.75" x14ac:dyDescent="0.25">
      <c r="A12" s="8" t="s">
        <v>27</v>
      </c>
      <c r="B12" s="4"/>
      <c r="C12" s="4"/>
      <c r="D12" s="4"/>
      <c r="E12" s="4"/>
      <c r="F12" s="4"/>
      <c r="G12" s="4"/>
    </row>
    <row r="13" spans="1:7" ht="15.75" x14ac:dyDescent="0.25">
      <c r="A13" s="4" t="s">
        <v>28</v>
      </c>
      <c r="B13" s="42" t="s">
        <v>192</v>
      </c>
      <c r="C13" s="4"/>
      <c r="D13" s="4"/>
      <c r="E13" s="4"/>
      <c r="F13" s="4"/>
      <c r="G13" s="4"/>
    </row>
    <row r="14" spans="1:7" ht="15.75" x14ac:dyDescent="0.25">
      <c r="A14" s="4" t="s">
        <v>185</v>
      </c>
      <c r="B14" s="42" t="s">
        <v>186</v>
      </c>
      <c r="C14" s="4"/>
      <c r="D14" s="4"/>
      <c r="E14" s="4"/>
      <c r="F14" s="4"/>
      <c r="G14" s="4"/>
    </row>
    <row r="15" spans="1:7" ht="15.75" x14ac:dyDescent="0.25">
      <c r="A15" s="4" t="s">
        <v>193</v>
      </c>
      <c r="B15" s="6">
        <f>B2</f>
        <v>6.05</v>
      </c>
      <c r="C15" s="4"/>
      <c r="D15" s="4"/>
      <c r="E15" s="4"/>
      <c r="F15" s="4"/>
      <c r="G15" s="4"/>
    </row>
    <row r="16" spans="1:7" ht="15.75" x14ac:dyDescent="0.25">
      <c r="A16" s="4" t="s">
        <v>31</v>
      </c>
      <c r="B16" s="14">
        <f>B5</f>
        <v>9200</v>
      </c>
      <c r="C16" s="4"/>
      <c r="D16" s="4"/>
      <c r="E16" s="4"/>
      <c r="F16" s="4"/>
      <c r="G16" s="4"/>
    </row>
    <row r="17" spans="1:7" ht="15.75" x14ac:dyDescent="0.25">
      <c r="A17" s="4" t="s">
        <v>29</v>
      </c>
      <c r="B17" s="15">
        <f>B3</f>
        <v>0.3</v>
      </c>
      <c r="C17" s="4"/>
      <c r="D17" s="4"/>
      <c r="E17" s="4"/>
      <c r="F17" s="4"/>
      <c r="G17" s="4"/>
    </row>
    <row r="18" spans="1:7" ht="15.75" x14ac:dyDescent="0.25">
      <c r="A18" s="4" t="s">
        <v>34</v>
      </c>
      <c r="B18" s="16">
        <v>45291</v>
      </c>
      <c r="C18" s="4"/>
      <c r="D18" s="4"/>
      <c r="E18" s="4"/>
      <c r="F18" s="4"/>
      <c r="G18" s="4"/>
    </row>
    <row r="19" spans="1:7" ht="15.75" x14ac:dyDescent="0.25">
      <c r="A19" s="4" t="s">
        <v>36</v>
      </c>
      <c r="B19" s="16">
        <v>45291</v>
      </c>
      <c r="C19" s="4"/>
      <c r="D19" s="4"/>
      <c r="E19" s="4"/>
      <c r="F19" s="4"/>
      <c r="G19" s="4"/>
    </row>
    <row r="20" spans="1:7" ht="15.75" x14ac:dyDescent="0.25">
      <c r="A20" s="4" t="s">
        <v>38</v>
      </c>
      <c r="B20" s="6" t="s">
        <v>189</v>
      </c>
      <c r="C20" s="4"/>
      <c r="D20" s="4"/>
      <c r="E20" s="4"/>
      <c r="F20" s="4"/>
      <c r="G20" s="4"/>
    </row>
    <row r="21" spans="1:7" ht="15.75" x14ac:dyDescent="0.25">
      <c r="A21" s="4" t="s">
        <v>39</v>
      </c>
      <c r="B21" s="6">
        <v>365</v>
      </c>
      <c r="C21" s="4"/>
      <c r="D21" s="4"/>
      <c r="E21" s="4"/>
      <c r="F21" s="4"/>
      <c r="G21" s="4"/>
    </row>
    <row r="22" spans="1:7" ht="15.75" x14ac:dyDescent="0.25">
      <c r="A22" s="4" t="s">
        <v>41</v>
      </c>
      <c r="B22" s="6" t="s">
        <v>168</v>
      </c>
      <c r="C22" s="4"/>
      <c r="D22" s="4"/>
      <c r="E22" s="4"/>
      <c r="F22" s="4"/>
      <c r="G22" s="4"/>
    </row>
    <row r="23" spans="1:7" ht="15.75" x14ac:dyDescent="0.25">
      <c r="A23" s="4" t="s">
        <v>42</v>
      </c>
      <c r="B23" s="17" t="s">
        <v>194</v>
      </c>
      <c r="C23" s="4"/>
      <c r="D23" s="4"/>
      <c r="E23" s="4"/>
      <c r="F23" s="4"/>
      <c r="G23" s="4"/>
    </row>
    <row r="24" spans="1:7" ht="15.75" x14ac:dyDescent="0.25">
      <c r="A24" s="4" t="s">
        <v>43</v>
      </c>
      <c r="B24" s="6" t="s">
        <v>169</v>
      </c>
      <c r="C24" s="4"/>
      <c r="D24" s="4"/>
      <c r="E24" s="4"/>
      <c r="F24" s="4"/>
      <c r="G24" s="4"/>
    </row>
    <row r="25" spans="1:7" ht="15.75" x14ac:dyDescent="0.25">
      <c r="A25" s="4" t="s">
        <v>45</v>
      </c>
      <c r="B25" s="6">
        <v>0.31</v>
      </c>
      <c r="C25" s="4"/>
      <c r="D25" s="4"/>
      <c r="E25" s="4"/>
      <c r="F25" s="4"/>
      <c r="G25" s="4"/>
    </row>
    <row r="26" spans="1:7" ht="15.75" x14ac:dyDescent="0.25">
      <c r="A26" s="4" t="s">
        <v>47</v>
      </c>
      <c r="B26" s="6">
        <v>2000</v>
      </c>
      <c r="C26" s="4"/>
      <c r="D26" s="4"/>
      <c r="E26" s="4"/>
      <c r="F26" s="4"/>
      <c r="G26" s="4"/>
    </row>
    <row r="27" spans="1:7" ht="15.75" x14ac:dyDescent="0.25">
      <c r="A27" s="4"/>
      <c r="B27" s="4"/>
      <c r="C27" s="4"/>
      <c r="D27" s="4"/>
      <c r="E27" s="4"/>
      <c r="F27" s="4"/>
      <c r="G27" s="4"/>
    </row>
    <row r="28" spans="1:7" ht="15.75" x14ac:dyDescent="0.25">
      <c r="A28" s="8" t="s">
        <v>44</v>
      </c>
      <c r="B28" s="4"/>
      <c r="C28" s="4"/>
      <c r="D28" s="4"/>
      <c r="E28" s="4"/>
      <c r="F28" s="4"/>
      <c r="G28" s="4"/>
    </row>
    <row r="29" spans="1:7" ht="15.75" x14ac:dyDescent="0.25">
      <c r="A29" s="4" t="s">
        <v>46</v>
      </c>
      <c r="B29" s="5">
        <v>0</v>
      </c>
      <c r="C29" s="4"/>
      <c r="D29" s="4"/>
      <c r="E29" s="4"/>
      <c r="F29" s="4"/>
      <c r="G29" s="4"/>
    </row>
    <row r="30" spans="1:7" ht="15.75" x14ac:dyDescent="0.25">
      <c r="A30" s="4" t="s">
        <v>48</v>
      </c>
      <c r="B30" s="5">
        <v>0</v>
      </c>
      <c r="C30" s="4"/>
      <c r="D30" s="4"/>
      <c r="E30" s="4"/>
      <c r="F30" s="4"/>
      <c r="G30" s="4"/>
    </row>
    <row r="31" spans="1:7" ht="15.75" x14ac:dyDescent="0.25">
      <c r="A31" s="4" t="s">
        <v>49</v>
      </c>
      <c r="B31" s="5">
        <v>0</v>
      </c>
      <c r="C31" s="4"/>
      <c r="D31" s="4"/>
      <c r="E31" s="4"/>
      <c r="F31" s="4"/>
      <c r="G31" s="4"/>
    </row>
    <row r="32" spans="1:7" ht="15.75" x14ac:dyDescent="0.25">
      <c r="A32" s="4"/>
      <c r="B32" s="4"/>
      <c r="C32" s="4"/>
      <c r="D32" s="4"/>
      <c r="E32" s="4"/>
      <c r="F32" s="4"/>
      <c r="G32" s="4"/>
    </row>
    <row r="33" spans="1:7" ht="15.75" x14ac:dyDescent="0.25">
      <c r="A33" s="8" t="s">
        <v>50</v>
      </c>
      <c r="B33" s="4"/>
      <c r="C33" s="4"/>
      <c r="D33" s="4"/>
      <c r="E33" s="4"/>
      <c r="F33" s="4"/>
      <c r="G33" s="4"/>
    </row>
    <row r="34" spans="1:7" ht="15.75" x14ac:dyDescent="0.25">
      <c r="A34" s="4" t="s">
        <v>51</v>
      </c>
      <c r="B34" s="4">
        <v>0</v>
      </c>
      <c r="C34" s="4"/>
      <c r="D34" s="4"/>
      <c r="E34" s="4"/>
      <c r="F34" s="4"/>
      <c r="G34" s="4"/>
    </row>
    <row r="35" spans="1:7" ht="15.75" x14ac:dyDescent="0.25">
      <c r="A35" s="10" t="s">
        <v>52</v>
      </c>
      <c r="B35" s="18">
        <f ca="1">SUM(D38:D46)</f>
        <v>-2908.5455825734552</v>
      </c>
      <c r="C35" s="4"/>
      <c r="D35" s="4"/>
      <c r="E35" s="4"/>
      <c r="F35" s="4"/>
      <c r="G35" s="4"/>
    </row>
    <row r="36" spans="1:7" ht="15.75" x14ac:dyDescent="0.25">
      <c r="A36" s="10"/>
      <c r="B36" s="5"/>
      <c r="C36" s="4"/>
      <c r="D36" s="4"/>
      <c r="E36" s="4"/>
      <c r="F36" s="4"/>
      <c r="G36" s="4"/>
    </row>
    <row r="37" spans="1:7" ht="15.75" x14ac:dyDescent="0.25">
      <c r="A37" s="7" t="s">
        <v>53</v>
      </c>
      <c r="B37" s="4"/>
      <c r="C37" s="4"/>
      <c r="D37" s="10" t="s">
        <v>54</v>
      </c>
      <c r="E37" s="10" t="s">
        <v>55</v>
      </c>
      <c r="F37" s="10" t="s">
        <v>56</v>
      </c>
      <c r="G37" s="10" t="s">
        <v>57</v>
      </c>
    </row>
    <row r="38" spans="1:7" ht="15.75" x14ac:dyDescent="0.25">
      <c r="A38" s="4" t="s">
        <v>58</v>
      </c>
      <c r="B38" s="4">
        <v>8.0000000000000002E-3</v>
      </c>
      <c r="C38" s="4" t="s">
        <v>59</v>
      </c>
      <c r="D38" s="5">
        <f>-B38*G38</f>
        <v>-578.86400000000003</v>
      </c>
      <c r="E38" s="4" t="s">
        <v>64</v>
      </c>
      <c r="F38" s="4">
        <v>0</v>
      </c>
      <c r="G38" s="18">
        <f>B6</f>
        <v>72358</v>
      </c>
    </row>
    <row r="39" spans="1:7" ht="15.75" x14ac:dyDescent="0.25">
      <c r="A39" s="4" t="s">
        <v>60</v>
      </c>
      <c r="B39" s="4">
        <v>8.0000000000000002E-3</v>
      </c>
      <c r="C39" s="4" t="s">
        <v>59</v>
      </c>
      <c r="D39" s="5">
        <f>-B39*G39</f>
        <v>-578.86400000000003</v>
      </c>
      <c r="E39" s="4" t="s">
        <v>64</v>
      </c>
      <c r="F39" s="4">
        <v>0</v>
      </c>
      <c r="G39" s="18">
        <f>B6</f>
        <v>72358</v>
      </c>
    </row>
    <row r="40" spans="1:7" ht="15.75" x14ac:dyDescent="0.25">
      <c r="A40" s="4"/>
      <c r="B40" s="4"/>
      <c r="C40" s="4"/>
      <c r="D40" s="5"/>
      <c r="E40" s="4"/>
      <c r="F40" s="4"/>
      <c r="G40" s="4"/>
    </row>
    <row r="41" spans="1:7" ht="15.75" x14ac:dyDescent="0.25">
      <c r="A41" s="7" t="s">
        <v>61</v>
      </c>
      <c r="B41" s="4"/>
      <c r="C41" s="4"/>
      <c r="D41" s="5"/>
      <c r="E41" s="4"/>
      <c r="F41" s="4"/>
      <c r="G41" s="4"/>
    </row>
    <row r="42" spans="1:7" ht="15.75" x14ac:dyDescent="0.25">
      <c r="A42" s="4" t="s">
        <v>62</v>
      </c>
      <c r="B42" s="4">
        <v>2.5000000000000001E-2</v>
      </c>
      <c r="C42" s="4" t="s">
        <v>63</v>
      </c>
      <c r="D42" s="5">
        <f ca="1">-B42*G42</f>
        <v>-755.39525582573458</v>
      </c>
      <c r="E42" s="4" t="s">
        <v>64</v>
      </c>
      <c r="F42" s="4">
        <v>7</v>
      </c>
      <c r="G42" s="18">
        <f ca="1">B51</f>
        <v>30215.81023302938</v>
      </c>
    </row>
    <row r="43" spans="1:7" ht="15.75" x14ac:dyDescent="0.25">
      <c r="A43" s="4" t="s">
        <v>65</v>
      </c>
      <c r="B43" s="4">
        <v>2.2499999999999999E-2</v>
      </c>
      <c r="C43" s="4" t="s">
        <v>63</v>
      </c>
      <c r="D43" s="5">
        <f t="shared" ref="D43:D44" si="0">-B43*G43</f>
        <v>-407.01374999999996</v>
      </c>
      <c r="E43" s="4" t="s">
        <v>64</v>
      </c>
      <c r="F43" s="4">
        <v>8</v>
      </c>
      <c r="G43" s="18">
        <f t="shared" ref="G43:G44" si="1">B52</f>
        <v>18089.5</v>
      </c>
    </row>
    <row r="44" spans="1:7" ht="15.75" x14ac:dyDescent="0.25">
      <c r="A44" s="4" t="s">
        <v>66</v>
      </c>
      <c r="B44" s="4">
        <v>0.02</v>
      </c>
      <c r="C44" s="4" t="s">
        <v>63</v>
      </c>
      <c r="D44" s="5">
        <f t="shared" ca="1" si="0"/>
        <v>-226.61857674772034</v>
      </c>
      <c r="E44" s="4" t="s">
        <v>64</v>
      </c>
      <c r="F44" s="4">
        <v>9</v>
      </c>
      <c r="G44" s="18">
        <f t="shared" ca="1" si="1"/>
        <v>11330.928837386016</v>
      </c>
    </row>
    <row r="45" spans="1:7" ht="15.75" x14ac:dyDescent="0.25">
      <c r="A45" s="4"/>
      <c r="B45" s="4"/>
      <c r="C45" s="4"/>
      <c r="D45" s="5">
        <v>0</v>
      </c>
      <c r="E45" s="4"/>
      <c r="F45" s="4"/>
      <c r="G45" s="4"/>
    </row>
    <row r="46" spans="1:7" ht="15.75" x14ac:dyDescent="0.25">
      <c r="A46" s="7" t="s">
        <v>67</v>
      </c>
      <c r="B46" s="4">
        <v>5.0000000000000001E-3</v>
      </c>
      <c r="C46" s="4" t="s">
        <v>59</v>
      </c>
      <c r="D46" s="5">
        <f>-B46*G46</f>
        <v>-361.79</v>
      </c>
      <c r="E46" s="4" t="s">
        <v>64</v>
      </c>
      <c r="F46" s="4">
        <v>0</v>
      </c>
      <c r="G46" s="18">
        <f>B6</f>
        <v>72358</v>
      </c>
    </row>
    <row r="47" spans="1:7" ht="15.75" x14ac:dyDescent="0.25">
      <c r="A47" s="4"/>
      <c r="B47" s="4"/>
      <c r="C47" s="4"/>
      <c r="D47" s="4"/>
      <c r="E47" s="4"/>
      <c r="F47" s="4"/>
      <c r="G47" s="4"/>
    </row>
    <row r="48" spans="1:7" ht="15.75" x14ac:dyDescent="0.25">
      <c r="A48" s="8" t="s">
        <v>68</v>
      </c>
      <c r="B48" s="4"/>
      <c r="C48" s="4"/>
      <c r="D48" s="4"/>
      <c r="E48" s="4"/>
      <c r="F48" s="4"/>
      <c r="G48" s="4"/>
    </row>
    <row r="49" spans="1:7" ht="15.75" x14ac:dyDescent="0.25">
      <c r="A49" s="10" t="s">
        <v>69</v>
      </c>
      <c r="B49" s="4"/>
      <c r="C49" s="7" t="s">
        <v>70</v>
      </c>
      <c r="D49" s="4"/>
      <c r="E49" s="4"/>
      <c r="F49" s="4"/>
      <c r="G49" s="4"/>
    </row>
    <row r="50" spans="1:7" ht="15.75" x14ac:dyDescent="0.25">
      <c r="A50" s="4" t="s">
        <v>71</v>
      </c>
      <c r="B50" s="5">
        <v>0</v>
      </c>
      <c r="C50" s="4" t="s">
        <v>72</v>
      </c>
      <c r="D50" s="5">
        <f>B6</f>
        <v>72358</v>
      </c>
      <c r="E50" s="4"/>
      <c r="F50" s="4"/>
      <c r="G50" s="4"/>
    </row>
    <row r="51" spans="1:7" ht="15.75" x14ac:dyDescent="0.25">
      <c r="A51" s="4" t="s">
        <v>62</v>
      </c>
      <c r="B51" s="5">
        <f ca="1">0.4*D55</f>
        <v>30215.81023302938</v>
      </c>
      <c r="C51" s="4" t="s">
        <v>73</v>
      </c>
      <c r="D51" s="5">
        <f>B74</f>
        <v>272.98</v>
      </c>
      <c r="E51" s="4"/>
      <c r="F51" s="4"/>
      <c r="G51" s="4"/>
    </row>
    <row r="52" spans="1:7" ht="15.75" x14ac:dyDescent="0.25">
      <c r="A52" s="4" t="s">
        <v>65</v>
      </c>
      <c r="B52" s="5">
        <f>0.25*B6</f>
        <v>18089.5</v>
      </c>
      <c r="C52" s="4" t="s">
        <v>74</v>
      </c>
      <c r="D52" s="5">
        <f ca="1">-B35</f>
        <v>2908.5455825734552</v>
      </c>
      <c r="E52" s="4"/>
      <c r="F52" s="4"/>
      <c r="G52" s="4"/>
    </row>
    <row r="53" spans="1:7" ht="15.75" x14ac:dyDescent="0.25">
      <c r="A53" s="4" t="s">
        <v>66</v>
      </c>
      <c r="B53" s="5">
        <f ca="1">0.15*D55</f>
        <v>11330.928837386016</v>
      </c>
      <c r="C53" s="4"/>
      <c r="D53" s="5"/>
      <c r="E53" s="4"/>
      <c r="F53" s="4"/>
      <c r="G53" s="4"/>
    </row>
    <row r="54" spans="1:7" ht="15.75" x14ac:dyDescent="0.25">
      <c r="A54" s="4" t="s">
        <v>75</v>
      </c>
      <c r="B54" s="5">
        <f ca="1">D55-SUM(B50:B53)</f>
        <v>15903.286512158054</v>
      </c>
      <c r="C54" s="4"/>
      <c r="D54" s="4"/>
      <c r="E54" s="4"/>
      <c r="F54" s="4"/>
      <c r="G54" s="4"/>
    </row>
    <row r="55" spans="1:7" ht="15.75" x14ac:dyDescent="0.25">
      <c r="A55" s="10" t="s">
        <v>76</v>
      </c>
      <c r="B55" s="5">
        <f ca="1">SUM(B50:B54)</f>
        <v>75539.525582573449</v>
      </c>
      <c r="C55" s="10" t="s">
        <v>76</v>
      </c>
      <c r="D55" s="5">
        <f ca="1">D50+D51+D52</f>
        <v>75539.525582573449</v>
      </c>
      <c r="E55" s="4"/>
      <c r="F55" s="4"/>
      <c r="G55" s="4"/>
    </row>
    <row r="56" spans="1:7" ht="15.75" x14ac:dyDescent="0.25">
      <c r="A56" s="4"/>
      <c r="B56" s="4"/>
      <c r="C56" s="4"/>
      <c r="D56" s="4"/>
      <c r="E56" s="4"/>
      <c r="F56" s="4"/>
      <c r="G56" s="4"/>
    </row>
    <row r="57" spans="1:7" ht="15.75" x14ac:dyDescent="0.25">
      <c r="A57" s="8" t="s">
        <v>77</v>
      </c>
      <c r="B57" s="4"/>
      <c r="C57" s="4"/>
      <c r="D57" s="4"/>
      <c r="E57" s="4"/>
      <c r="F57" s="4"/>
      <c r="G57" s="19"/>
    </row>
    <row r="58" spans="1:7" ht="15.75" x14ac:dyDescent="0.25">
      <c r="A58" s="4" t="s">
        <v>14</v>
      </c>
      <c r="B58" s="9" t="s">
        <v>78</v>
      </c>
      <c r="C58" s="9" t="s">
        <v>79</v>
      </c>
      <c r="D58" s="9" t="s">
        <v>80</v>
      </c>
      <c r="E58" s="9" t="s">
        <v>81</v>
      </c>
      <c r="F58" s="4"/>
      <c r="G58" s="4"/>
    </row>
    <row r="59" spans="1:7" ht="15.75" x14ac:dyDescent="0.25">
      <c r="A59" s="4" t="s">
        <v>82</v>
      </c>
      <c r="B59" s="1">
        <f>'LBO VALUATION MODEL'!D38</f>
        <v>19697.27</v>
      </c>
      <c r="C59" s="5"/>
      <c r="D59" s="5">
        <f>B59</f>
        <v>19697.27</v>
      </c>
      <c r="E59" s="5">
        <f>D59</f>
        <v>19697.27</v>
      </c>
      <c r="F59" s="4"/>
      <c r="G59" s="4"/>
    </row>
    <row r="60" spans="1:7" ht="15.75" x14ac:dyDescent="0.25">
      <c r="A60" s="4" t="s">
        <v>46</v>
      </c>
      <c r="B60" s="1">
        <v>480.33</v>
      </c>
      <c r="C60" s="5">
        <v>0</v>
      </c>
      <c r="D60" s="5">
        <f t="shared" ref="D60:D79" si="2">B60</f>
        <v>480.33</v>
      </c>
      <c r="E60" s="5">
        <f t="shared" ref="E60:E62" si="3">D60</f>
        <v>480.33</v>
      </c>
      <c r="F60" s="4"/>
      <c r="G60" s="4"/>
    </row>
    <row r="61" spans="1:7" ht="15.75" x14ac:dyDescent="0.25">
      <c r="A61" s="4" t="s">
        <v>48</v>
      </c>
      <c r="B61" s="1">
        <v>2296.71</v>
      </c>
      <c r="C61" s="5">
        <v>0</v>
      </c>
      <c r="D61" s="5">
        <f t="shared" si="2"/>
        <v>2296.71</v>
      </c>
      <c r="E61" s="5">
        <f t="shared" si="3"/>
        <v>2296.71</v>
      </c>
      <c r="F61" s="4"/>
      <c r="G61" s="4"/>
    </row>
    <row r="62" spans="1:7" ht="15.75" x14ac:dyDescent="0.25">
      <c r="A62" s="4" t="s">
        <v>8</v>
      </c>
      <c r="B62" s="1">
        <v>3601.35</v>
      </c>
      <c r="C62" s="5"/>
      <c r="D62" s="5">
        <f t="shared" si="2"/>
        <v>3601.35</v>
      </c>
      <c r="E62" s="5">
        <f t="shared" si="3"/>
        <v>3601.35</v>
      </c>
      <c r="F62" s="4"/>
      <c r="G62" s="4"/>
    </row>
    <row r="63" spans="1:7" ht="15.75" x14ac:dyDescent="0.25">
      <c r="A63" s="4"/>
      <c r="B63" s="1"/>
      <c r="C63" s="5"/>
      <c r="D63" s="5"/>
      <c r="E63" s="5"/>
      <c r="F63" s="4"/>
      <c r="G63" s="4"/>
    </row>
    <row r="64" spans="1:7" ht="15.75" x14ac:dyDescent="0.25">
      <c r="A64" s="4" t="s">
        <v>83</v>
      </c>
      <c r="B64" s="1"/>
      <c r="C64" s="5"/>
      <c r="D64" s="5">
        <f t="shared" si="2"/>
        <v>0</v>
      </c>
      <c r="E64" s="5">
        <f ca="1">-'LBO VALUATION DRIVERS'!B35</f>
        <v>2908.5455825734552</v>
      </c>
      <c r="F64" s="4"/>
      <c r="G64" s="4"/>
    </row>
    <row r="65" spans="1:7" ht="15.75" x14ac:dyDescent="0.25">
      <c r="A65" s="4" t="s">
        <v>49</v>
      </c>
      <c r="B65" s="1">
        <v>1483.68</v>
      </c>
      <c r="C65" s="5">
        <v>0</v>
      </c>
      <c r="D65" s="5">
        <f t="shared" si="2"/>
        <v>1483.68</v>
      </c>
      <c r="E65" s="5">
        <f>D65</f>
        <v>1483.68</v>
      </c>
      <c r="F65" s="4"/>
      <c r="G65" s="4"/>
    </row>
    <row r="66" spans="1:7" ht="15.75" x14ac:dyDescent="0.25">
      <c r="A66" s="4" t="s">
        <v>84</v>
      </c>
      <c r="B66" s="1">
        <v>51.64</v>
      </c>
      <c r="C66" s="5"/>
      <c r="D66" s="5">
        <f t="shared" si="2"/>
        <v>51.64</v>
      </c>
      <c r="E66" s="5">
        <f>B86+D66</f>
        <v>60932.020000000004</v>
      </c>
      <c r="F66" s="4"/>
      <c r="G66" s="4"/>
    </row>
    <row r="67" spans="1:7" ht="15.75" x14ac:dyDescent="0.25">
      <c r="A67" s="4" t="s">
        <v>9</v>
      </c>
      <c r="B67" s="1">
        <v>593.55999999999995</v>
      </c>
      <c r="C67" s="5"/>
      <c r="D67" s="5">
        <f t="shared" si="2"/>
        <v>593.55999999999995</v>
      </c>
      <c r="E67" s="5">
        <f t="shared" ref="E67" si="4">D67</f>
        <v>593.55999999999995</v>
      </c>
      <c r="F67" s="4"/>
      <c r="G67" s="4"/>
    </row>
    <row r="68" spans="1:7" ht="15.75" x14ac:dyDescent="0.25">
      <c r="A68" s="4"/>
      <c r="B68" s="1"/>
      <c r="C68" s="5"/>
      <c r="D68" s="5"/>
      <c r="E68" s="5"/>
      <c r="F68" s="4"/>
      <c r="G68" s="4"/>
    </row>
    <row r="69" spans="1:7" s="2" customFormat="1" ht="15.75" x14ac:dyDescent="0.25">
      <c r="A69" s="10" t="s">
        <v>85</v>
      </c>
      <c r="B69" s="20">
        <f>SUM(B59:B68)</f>
        <v>28204.54</v>
      </c>
      <c r="C69" s="22">
        <f>C60+C61+C65</f>
        <v>0</v>
      </c>
      <c r="D69" s="22">
        <f>SUM(D59:D68)</f>
        <v>28204.54</v>
      </c>
      <c r="E69" s="22">
        <f ca="1">SUM(E59:E68)</f>
        <v>91993.465582573466</v>
      </c>
      <c r="F69" s="54"/>
      <c r="G69" s="10"/>
    </row>
    <row r="70" spans="1:7" ht="15.75" x14ac:dyDescent="0.25">
      <c r="A70" s="4"/>
      <c r="B70" s="1"/>
      <c r="C70" s="5"/>
      <c r="D70" s="5"/>
      <c r="E70" s="5">
        <v>0</v>
      </c>
      <c r="F70" s="4"/>
      <c r="G70" s="4"/>
    </row>
    <row r="71" spans="1:7" ht="15.75" x14ac:dyDescent="0.25">
      <c r="A71" s="4" t="s">
        <v>86</v>
      </c>
      <c r="B71" s="1">
        <v>15195.82</v>
      </c>
      <c r="C71" s="5"/>
      <c r="D71" s="5">
        <f t="shared" si="2"/>
        <v>15195.82</v>
      </c>
      <c r="E71" s="5">
        <f>D71</f>
        <v>15195.82</v>
      </c>
      <c r="F71" s="4"/>
      <c r="G71" s="4"/>
    </row>
    <row r="72" spans="1:7" ht="15.75" x14ac:dyDescent="0.25">
      <c r="A72" s="4" t="s">
        <v>10</v>
      </c>
      <c r="B72" s="1">
        <v>1201.8300000000002</v>
      </c>
      <c r="C72" s="5"/>
      <c r="D72" s="5">
        <f t="shared" si="2"/>
        <v>1201.8300000000002</v>
      </c>
      <c r="E72" s="5">
        <f>D72</f>
        <v>1201.8300000000002</v>
      </c>
      <c r="F72" s="4"/>
      <c r="G72" s="4"/>
    </row>
    <row r="73" spans="1:7" ht="15.75" x14ac:dyDescent="0.25">
      <c r="A73" s="4"/>
      <c r="B73" s="1"/>
      <c r="C73" s="5"/>
      <c r="D73" s="5"/>
      <c r="E73" s="5"/>
      <c r="F73" s="4"/>
      <c r="G73" s="4"/>
    </row>
    <row r="74" spans="1:7" ht="15.75" x14ac:dyDescent="0.25">
      <c r="A74" s="4" t="s">
        <v>87</v>
      </c>
      <c r="B74" s="1">
        <v>272.98</v>
      </c>
      <c r="C74" s="5"/>
      <c r="D74" s="5">
        <f t="shared" si="2"/>
        <v>272.98</v>
      </c>
      <c r="E74" s="5">
        <f ca="1">B51+B52+B53</f>
        <v>59636.239070415395</v>
      </c>
      <c r="F74" s="4"/>
      <c r="G74" s="4"/>
    </row>
    <row r="75" spans="1:7" ht="15.75" x14ac:dyDescent="0.25">
      <c r="A75" s="4" t="s">
        <v>11</v>
      </c>
      <c r="B75" s="1">
        <v>56.29</v>
      </c>
      <c r="C75" s="5"/>
      <c r="D75" s="5">
        <f t="shared" si="2"/>
        <v>56.29</v>
      </c>
      <c r="E75" s="5">
        <f>D75</f>
        <v>56.29</v>
      </c>
      <c r="F75" s="4"/>
      <c r="G75" s="4"/>
    </row>
    <row r="76" spans="1:7" ht="15.75" x14ac:dyDescent="0.25">
      <c r="A76" s="4"/>
      <c r="B76" s="1"/>
      <c r="C76" s="5"/>
      <c r="D76" s="5"/>
      <c r="E76" s="5"/>
      <c r="F76" s="4"/>
      <c r="G76" s="4"/>
    </row>
    <row r="77" spans="1:7" ht="15.75" x14ac:dyDescent="0.25">
      <c r="A77" s="4" t="s">
        <v>88</v>
      </c>
      <c r="B77" s="1">
        <v>11477.62</v>
      </c>
      <c r="C77" s="5"/>
      <c r="D77" s="5">
        <f t="shared" si="2"/>
        <v>11477.62</v>
      </c>
      <c r="E77" s="5">
        <f ca="1">B54</f>
        <v>15903.286512158054</v>
      </c>
      <c r="F77" s="4"/>
      <c r="G77" s="4"/>
    </row>
    <row r="78" spans="1:7" ht="15.75" x14ac:dyDescent="0.25">
      <c r="A78" s="4"/>
      <c r="B78" s="1"/>
      <c r="C78" s="5"/>
      <c r="D78" s="5"/>
      <c r="E78" s="5"/>
      <c r="F78" s="4"/>
      <c r="G78" s="4"/>
    </row>
    <row r="79" spans="1:7" s="2" customFormat="1" ht="15.75" x14ac:dyDescent="0.25">
      <c r="A79" s="10" t="s">
        <v>89</v>
      </c>
      <c r="B79" s="20">
        <f>SUM(B71:B78)</f>
        <v>28204.54</v>
      </c>
      <c r="C79" s="22">
        <v>0</v>
      </c>
      <c r="D79" s="22">
        <f t="shared" si="2"/>
        <v>28204.54</v>
      </c>
      <c r="E79" s="22">
        <f ca="1">SUM(E71:E78)</f>
        <v>91993.465582573452</v>
      </c>
      <c r="F79" s="10"/>
      <c r="G79" s="10"/>
    </row>
    <row r="80" spans="1:7" ht="15.75" x14ac:dyDescent="0.25">
      <c r="A80" s="4"/>
      <c r="B80" s="4"/>
      <c r="C80" s="4"/>
      <c r="D80" s="4"/>
      <c r="E80" s="4"/>
      <c r="F80" s="4"/>
      <c r="G80" s="4"/>
    </row>
    <row r="81" spans="1:7" ht="15.75" x14ac:dyDescent="0.25">
      <c r="A81" s="8" t="s">
        <v>84</v>
      </c>
      <c r="B81" s="4"/>
      <c r="C81" s="4"/>
      <c r="D81" s="4"/>
      <c r="E81" s="4"/>
      <c r="F81" s="18"/>
      <c r="G81" s="4"/>
    </row>
    <row r="82" spans="1:7" ht="15.75" x14ac:dyDescent="0.25">
      <c r="A82" s="4" t="s">
        <v>90</v>
      </c>
      <c r="B82" s="5">
        <f>B6</f>
        <v>72358</v>
      </c>
      <c r="C82" s="4"/>
      <c r="D82" s="4"/>
      <c r="E82" s="4"/>
      <c r="F82" s="4"/>
      <c r="G82" s="4"/>
    </row>
    <row r="83" spans="1:7" ht="15.75" x14ac:dyDescent="0.25">
      <c r="A83" s="4" t="s">
        <v>91</v>
      </c>
      <c r="B83" s="5">
        <f>-(B69-SUM(B71:B75))</f>
        <v>-11477.619999999999</v>
      </c>
      <c r="C83" s="4"/>
      <c r="D83" s="4"/>
      <c r="E83" s="4"/>
      <c r="F83" s="4"/>
      <c r="G83" s="4"/>
    </row>
    <row r="84" spans="1:7" ht="15.75" x14ac:dyDescent="0.25">
      <c r="A84" s="4" t="s">
        <v>92</v>
      </c>
      <c r="B84" s="5">
        <f>B82+B83</f>
        <v>60880.380000000005</v>
      </c>
      <c r="C84" s="4"/>
      <c r="D84" s="4"/>
      <c r="E84" s="4"/>
      <c r="F84" s="4"/>
      <c r="G84" s="4"/>
    </row>
    <row r="85" spans="1:7" ht="15.75" x14ac:dyDescent="0.25">
      <c r="A85" s="4" t="s">
        <v>93</v>
      </c>
      <c r="B85" s="5">
        <v>0</v>
      </c>
      <c r="C85" s="4"/>
      <c r="D85" s="4"/>
      <c r="E85" s="4"/>
      <c r="F85" s="4"/>
      <c r="G85" s="4"/>
    </row>
    <row r="86" spans="1:7" ht="15.75" x14ac:dyDescent="0.25">
      <c r="A86" s="4" t="s">
        <v>84</v>
      </c>
      <c r="B86" s="5">
        <f>B84+B85</f>
        <v>60880.380000000005</v>
      </c>
      <c r="C86" s="4"/>
      <c r="D86" s="4"/>
      <c r="E86" s="4"/>
      <c r="F86" s="4"/>
      <c r="G8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04"/>
  <sheetViews>
    <sheetView tabSelected="1" topLeftCell="A172" workbookViewId="0">
      <selection activeCell="G78" sqref="G78"/>
    </sheetView>
  </sheetViews>
  <sheetFormatPr defaultRowHeight="15" x14ac:dyDescent="0.25"/>
  <cols>
    <col min="1" max="1" width="53.140625" customWidth="1"/>
    <col min="2" max="2" width="14.85546875" customWidth="1"/>
    <col min="3" max="3" width="12.140625" customWidth="1"/>
    <col min="4" max="4" width="12.28515625" customWidth="1"/>
    <col min="5" max="5" width="10.5703125" bestFit="1" customWidth="1"/>
    <col min="6" max="6" width="13.7109375" customWidth="1"/>
    <col min="7" max="7" width="11.28515625" bestFit="1" customWidth="1"/>
    <col min="8" max="15" width="11.5703125" bestFit="1" customWidth="1"/>
    <col min="17" max="17" width="15.85546875" customWidth="1"/>
    <col min="18" max="18" width="11" customWidth="1"/>
  </cols>
  <sheetData>
    <row r="2" spans="1:15" ht="15.75" x14ac:dyDescent="0.25">
      <c r="A2" s="8" t="s">
        <v>1</v>
      </c>
      <c r="B2" s="4"/>
      <c r="C2" s="4"/>
      <c r="D2" s="4"/>
      <c r="E2" s="4"/>
      <c r="F2" s="4"/>
      <c r="G2" s="4"/>
    </row>
    <row r="3" spans="1:15" x14ac:dyDescent="0.25">
      <c r="A3" t="s">
        <v>2</v>
      </c>
      <c r="B3" s="37" t="s">
        <v>190</v>
      </c>
      <c r="C3" s="37" t="s">
        <v>173</v>
      </c>
      <c r="D3" s="37" t="s">
        <v>174</v>
      </c>
      <c r="E3" s="37"/>
      <c r="F3" s="38" t="s">
        <v>189</v>
      </c>
      <c r="G3" s="38" t="s">
        <v>175</v>
      </c>
      <c r="H3" s="38" t="s">
        <v>176</v>
      </c>
      <c r="I3" s="38" t="s">
        <v>177</v>
      </c>
      <c r="J3" s="38" t="s">
        <v>178</v>
      </c>
      <c r="K3" s="38" t="s">
        <v>179</v>
      </c>
      <c r="L3" s="38" t="s">
        <v>180</v>
      </c>
      <c r="M3" s="38" t="s">
        <v>181</v>
      </c>
      <c r="N3" s="38" t="s">
        <v>182</v>
      </c>
      <c r="O3" s="38" t="s">
        <v>183</v>
      </c>
    </row>
    <row r="4" spans="1:15" x14ac:dyDescent="0.25">
      <c r="A4" t="s">
        <v>0</v>
      </c>
      <c r="B4" s="1"/>
      <c r="C4" s="11">
        <f>(C19-B19)/B19</f>
        <v>-4.41878263524213E-2</v>
      </c>
      <c r="D4" s="11">
        <f>(D19-C19)/C19</f>
        <v>0.50407321314500653</v>
      </c>
      <c r="E4" s="1"/>
      <c r="F4" s="11">
        <v>0.18</v>
      </c>
      <c r="G4" s="11">
        <v>0.18</v>
      </c>
      <c r="H4" s="11">
        <v>0.18</v>
      </c>
      <c r="I4" s="11">
        <v>0.18</v>
      </c>
      <c r="J4" s="11">
        <v>0.18</v>
      </c>
      <c r="K4" s="11">
        <v>0.18</v>
      </c>
      <c r="L4" s="11">
        <v>0.18</v>
      </c>
      <c r="M4" s="11">
        <v>0.18</v>
      </c>
      <c r="N4" s="11">
        <v>0.18</v>
      </c>
      <c r="O4" s="11">
        <v>0.18</v>
      </c>
    </row>
    <row r="5" spans="1:15" x14ac:dyDescent="0.25">
      <c r="A5" t="s">
        <v>3</v>
      </c>
      <c r="B5" s="11">
        <f>B21/B19</f>
        <v>-0.88107044654233391</v>
      </c>
      <c r="C5" s="11">
        <f t="shared" ref="C5:D5" si="0">C21/C19</f>
        <v>-0.7479820249840301</v>
      </c>
      <c r="D5" s="11">
        <f t="shared" si="0"/>
        <v>-0.75459793743891102</v>
      </c>
      <c r="E5" s="1"/>
      <c r="F5" s="11">
        <f>$D$5</f>
        <v>-0.75459793743891102</v>
      </c>
      <c r="G5" s="11">
        <f t="shared" ref="G5:O5" si="1">$D$5</f>
        <v>-0.75459793743891102</v>
      </c>
      <c r="H5" s="11">
        <f t="shared" si="1"/>
        <v>-0.75459793743891102</v>
      </c>
      <c r="I5" s="11">
        <f t="shared" si="1"/>
        <v>-0.75459793743891102</v>
      </c>
      <c r="J5" s="11">
        <f t="shared" si="1"/>
        <v>-0.75459793743891102</v>
      </c>
      <c r="K5" s="11">
        <f t="shared" si="1"/>
        <v>-0.75459793743891102</v>
      </c>
      <c r="L5" s="11">
        <f t="shared" si="1"/>
        <v>-0.75459793743891102</v>
      </c>
      <c r="M5" s="11">
        <f t="shared" si="1"/>
        <v>-0.75459793743891102</v>
      </c>
      <c r="N5" s="11">
        <f t="shared" si="1"/>
        <v>-0.75459793743891102</v>
      </c>
      <c r="O5" s="11">
        <f t="shared" si="1"/>
        <v>-0.75459793743891102</v>
      </c>
    </row>
    <row r="6" spans="1:15" x14ac:dyDescent="0.25">
      <c r="A6" t="s">
        <v>4</v>
      </c>
      <c r="B6" s="11">
        <f>B25/B19</f>
        <v>-9.2418553671789375E-2</v>
      </c>
      <c r="C6" s="11">
        <f t="shared" ref="C6:D6" si="2">C25/C19</f>
        <v>-0.16643303286251684</v>
      </c>
      <c r="D6" s="11">
        <f t="shared" si="2"/>
        <v>-0.13815460772938368</v>
      </c>
      <c r="E6" s="1"/>
      <c r="F6" s="11">
        <f>$D$6</f>
        <v>-0.13815460772938368</v>
      </c>
      <c r="G6" s="11">
        <f t="shared" ref="G6:O6" si="3">$D$6</f>
        <v>-0.13815460772938368</v>
      </c>
      <c r="H6" s="11">
        <f t="shared" si="3"/>
        <v>-0.13815460772938368</v>
      </c>
      <c r="I6" s="11">
        <f t="shared" si="3"/>
        <v>-0.13815460772938368</v>
      </c>
      <c r="J6" s="11">
        <f t="shared" si="3"/>
        <v>-0.13815460772938368</v>
      </c>
      <c r="K6" s="11">
        <f t="shared" si="3"/>
        <v>-0.13815460772938368</v>
      </c>
      <c r="L6" s="11">
        <f t="shared" si="3"/>
        <v>-0.13815460772938368</v>
      </c>
      <c r="M6" s="11">
        <f t="shared" si="3"/>
        <v>-0.13815460772938368</v>
      </c>
      <c r="N6" s="11">
        <f t="shared" si="3"/>
        <v>-0.13815460772938368</v>
      </c>
      <c r="O6" s="11">
        <f t="shared" si="3"/>
        <v>-0.13815460772938368</v>
      </c>
    </row>
    <row r="7" spans="1:15" x14ac:dyDescent="0.25">
      <c r="A7" t="s">
        <v>5</v>
      </c>
      <c r="B7" s="1">
        <f>B39/B19*'LBO VALUATION DRIVERS'!$B$21</f>
        <v>14.911350863171018</v>
      </c>
      <c r="C7" s="1">
        <f>C39/C19*'LBO VALUATION DRIVERS'!$B$21</f>
        <v>10.868685233160621</v>
      </c>
      <c r="D7" s="1">
        <f>D39/D19*'LBO VALUATION DRIVERS'!$B$21</f>
        <v>5.1708679615235553</v>
      </c>
      <c r="E7" s="1"/>
      <c r="F7" s="1">
        <f t="shared" ref="F7:F13" si="4">$D7</f>
        <v>5.1708679615235553</v>
      </c>
      <c r="G7" s="1">
        <f t="shared" ref="G7:O11" si="5">$D7</f>
        <v>5.1708679615235553</v>
      </c>
      <c r="H7" s="1">
        <f t="shared" si="5"/>
        <v>5.1708679615235553</v>
      </c>
      <c r="I7" s="1">
        <f t="shared" si="5"/>
        <v>5.1708679615235553</v>
      </c>
      <c r="J7" s="1">
        <f t="shared" si="5"/>
        <v>5.1708679615235553</v>
      </c>
      <c r="K7" s="1">
        <f t="shared" si="5"/>
        <v>5.1708679615235553</v>
      </c>
      <c r="L7" s="1">
        <f t="shared" si="5"/>
        <v>5.1708679615235553</v>
      </c>
      <c r="M7" s="1">
        <f t="shared" si="5"/>
        <v>5.1708679615235553</v>
      </c>
      <c r="N7" s="1">
        <f t="shared" si="5"/>
        <v>5.1708679615235553</v>
      </c>
      <c r="O7" s="1">
        <f t="shared" si="5"/>
        <v>5.1708679615235553</v>
      </c>
    </row>
    <row r="8" spans="1:15" x14ac:dyDescent="0.25">
      <c r="A8" t="s">
        <v>6</v>
      </c>
      <c r="B8" s="1">
        <f>-B40/B21*'LBO VALUATION DRIVERS'!$B$21</f>
        <v>22.459119860055388</v>
      </c>
      <c r="C8" s="1">
        <f>-C40/C21*'LBO VALUATION DRIVERS'!$B$21</f>
        <v>66.815354204388612</v>
      </c>
      <c r="D8" s="1">
        <f>-D40/D21*'LBO VALUATION DRIVERS'!$B$21</f>
        <v>32.765310166597878</v>
      </c>
      <c r="E8" s="1"/>
      <c r="F8" s="1">
        <f t="shared" si="4"/>
        <v>32.765310166597878</v>
      </c>
      <c r="G8" s="1">
        <f t="shared" si="5"/>
        <v>32.765310166597878</v>
      </c>
      <c r="H8" s="1">
        <f t="shared" si="5"/>
        <v>32.765310166597878</v>
      </c>
      <c r="I8" s="1">
        <f t="shared" si="5"/>
        <v>32.765310166597878</v>
      </c>
      <c r="J8" s="1">
        <f t="shared" si="5"/>
        <v>32.765310166597878</v>
      </c>
      <c r="K8" s="1">
        <f t="shared" si="5"/>
        <v>32.765310166597878</v>
      </c>
      <c r="L8" s="1">
        <f t="shared" si="5"/>
        <v>32.765310166597878</v>
      </c>
      <c r="M8" s="1">
        <f t="shared" si="5"/>
        <v>32.765310166597878</v>
      </c>
      <c r="N8" s="1">
        <f t="shared" si="5"/>
        <v>32.765310166597878</v>
      </c>
      <c r="O8" s="1">
        <f t="shared" si="5"/>
        <v>32.765310166597878</v>
      </c>
    </row>
    <row r="9" spans="1:15" x14ac:dyDescent="0.25">
      <c r="A9" t="s">
        <v>7</v>
      </c>
      <c r="B9" s="1">
        <f>-B50/B21*'LBO VALUATION DRIVERS'!$B$21</f>
        <v>137.05243110446997</v>
      </c>
      <c r="C9" s="1">
        <f>-C50/C21*'LBO VALUATION DRIVERS'!$B$21</f>
        <v>159.89957482544355</v>
      </c>
      <c r="D9" s="1">
        <f>-D50/D21*'LBO VALUATION DRIVERS'!$B$21</f>
        <v>216.78651442097231</v>
      </c>
      <c r="E9" s="1"/>
      <c r="F9" s="1">
        <v>50</v>
      </c>
      <c r="G9" s="1">
        <v>50</v>
      </c>
      <c r="H9" s="1">
        <v>50</v>
      </c>
      <c r="I9" s="1">
        <v>50</v>
      </c>
      <c r="J9" s="1">
        <v>50</v>
      </c>
      <c r="K9" s="1">
        <v>50</v>
      </c>
      <c r="L9" s="1">
        <v>50</v>
      </c>
      <c r="M9" s="1">
        <v>50</v>
      </c>
      <c r="N9" s="1">
        <v>50</v>
      </c>
      <c r="O9" s="1">
        <v>50</v>
      </c>
    </row>
    <row r="10" spans="1:15" x14ac:dyDescent="0.25">
      <c r="A10" t="s">
        <v>8</v>
      </c>
      <c r="B10" s="12">
        <f>B41/B19</f>
        <v>5.2596297152161055E-2</v>
      </c>
      <c r="C10" s="12">
        <f>C41/C19</f>
        <v>0.12569868337000498</v>
      </c>
      <c r="D10" s="12">
        <f>D41/D19</f>
        <v>0.1062175310024179</v>
      </c>
      <c r="E10" s="1"/>
      <c r="F10" s="12">
        <f t="shared" si="4"/>
        <v>0.1062175310024179</v>
      </c>
      <c r="G10" s="12">
        <f t="shared" si="5"/>
        <v>0.1062175310024179</v>
      </c>
      <c r="H10" s="12">
        <f t="shared" si="5"/>
        <v>0.1062175310024179</v>
      </c>
      <c r="I10" s="12">
        <f t="shared" si="5"/>
        <v>0.1062175310024179</v>
      </c>
      <c r="J10" s="12">
        <f t="shared" si="5"/>
        <v>0.1062175310024179</v>
      </c>
      <c r="K10" s="12">
        <f t="shared" si="5"/>
        <v>0.1062175310024179</v>
      </c>
      <c r="L10" s="12">
        <f t="shared" si="5"/>
        <v>0.1062175310024179</v>
      </c>
      <c r="M10" s="12">
        <f t="shared" si="5"/>
        <v>0.1062175310024179</v>
      </c>
      <c r="N10" s="12">
        <f t="shared" si="5"/>
        <v>0.1062175310024179</v>
      </c>
      <c r="O10" s="12">
        <f t="shared" si="5"/>
        <v>0.1062175310024179</v>
      </c>
    </row>
    <row r="11" spans="1:15" x14ac:dyDescent="0.25">
      <c r="A11" t="s">
        <v>9</v>
      </c>
      <c r="B11" s="12">
        <f>B46/B19</f>
        <v>2.5167323523238729E-2</v>
      </c>
      <c r="C11" s="12">
        <f>C46/C19</f>
        <v>2.6330825466676127E-2</v>
      </c>
      <c r="D11" s="12">
        <f>D46/D19</f>
        <v>1.750634559312346E-2</v>
      </c>
      <c r="E11" s="1"/>
      <c r="F11" s="12">
        <f t="shared" si="4"/>
        <v>1.750634559312346E-2</v>
      </c>
      <c r="G11" s="12">
        <f t="shared" si="5"/>
        <v>1.750634559312346E-2</v>
      </c>
      <c r="H11" s="12">
        <f t="shared" si="5"/>
        <v>1.750634559312346E-2</v>
      </c>
      <c r="I11" s="12">
        <f t="shared" si="5"/>
        <v>1.750634559312346E-2</v>
      </c>
      <c r="J11" s="12">
        <f t="shared" si="5"/>
        <v>1.750634559312346E-2</v>
      </c>
      <c r="K11" s="12">
        <f t="shared" si="5"/>
        <v>1.750634559312346E-2</v>
      </c>
      <c r="L11" s="12">
        <f t="shared" si="5"/>
        <v>1.750634559312346E-2</v>
      </c>
      <c r="M11" s="12">
        <f t="shared" si="5"/>
        <v>1.750634559312346E-2</v>
      </c>
      <c r="N11" s="12">
        <f t="shared" si="5"/>
        <v>1.750634559312346E-2</v>
      </c>
      <c r="O11" s="12">
        <f t="shared" si="5"/>
        <v>1.750634559312346E-2</v>
      </c>
    </row>
    <row r="12" spans="1:15" x14ac:dyDescent="0.25">
      <c r="A12" t="s">
        <v>10</v>
      </c>
      <c r="B12" s="11">
        <f>B51/B19</f>
        <v>9.2882840673237359E-3</v>
      </c>
      <c r="C12" s="11">
        <f>C51/C19</f>
        <v>2.7985928738732346E-2</v>
      </c>
      <c r="D12" s="11">
        <f>D51/D19</f>
        <v>3.5446545124643798E-2</v>
      </c>
      <c r="E12" s="1"/>
      <c r="F12" s="11">
        <f t="shared" si="4"/>
        <v>3.5446545124643798E-2</v>
      </c>
      <c r="G12" s="11">
        <f t="shared" ref="G12:O13" si="6">$D12</f>
        <v>3.5446545124643798E-2</v>
      </c>
      <c r="H12" s="11">
        <f t="shared" si="6"/>
        <v>3.5446545124643798E-2</v>
      </c>
      <c r="I12" s="11">
        <f t="shared" si="6"/>
        <v>3.5446545124643798E-2</v>
      </c>
      <c r="J12" s="11">
        <f t="shared" si="6"/>
        <v>3.5446545124643798E-2</v>
      </c>
      <c r="K12" s="11">
        <f t="shared" si="6"/>
        <v>3.5446545124643798E-2</v>
      </c>
      <c r="L12" s="11">
        <f t="shared" si="6"/>
        <v>3.5446545124643798E-2</v>
      </c>
      <c r="M12" s="11">
        <f t="shared" si="6"/>
        <v>3.5446545124643798E-2</v>
      </c>
      <c r="N12" s="11">
        <f t="shared" si="6"/>
        <v>3.5446545124643798E-2</v>
      </c>
      <c r="O12" s="11">
        <f t="shared" si="6"/>
        <v>3.5446545124643798E-2</v>
      </c>
    </row>
    <row r="13" spans="1:15" x14ac:dyDescent="0.25">
      <c r="A13" t="s">
        <v>11</v>
      </c>
      <c r="B13" s="11">
        <f>B54/B19</f>
        <v>4.5559487037064523E-3</v>
      </c>
      <c r="C13" s="11">
        <f>C54/C19</f>
        <v>3.2534246575342467E-3</v>
      </c>
      <c r="D13" s="11">
        <f>D54/D19</f>
        <v>1.6602065392494769E-3</v>
      </c>
      <c r="E13" s="1"/>
      <c r="F13" s="12">
        <f t="shared" si="4"/>
        <v>1.6602065392494769E-3</v>
      </c>
      <c r="G13" s="12">
        <f t="shared" si="6"/>
        <v>1.6602065392494769E-3</v>
      </c>
      <c r="H13" s="12">
        <f t="shared" si="6"/>
        <v>1.6602065392494769E-3</v>
      </c>
      <c r="I13" s="12">
        <f t="shared" si="6"/>
        <v>1.6602065392494769E-3</v>
      </c>
      <c r="J13" s="12">
        <f t="shared" si="6"/>
        <v>1.6602065392494769E-3</v>
      </c>
      <c r="K13" s="12">
        <f t="shared" si="6"/>
        <v>1.6602065392494769E-3</v>
      </c>
      <c r="L13" s="12">
        <f t="shared" si="6"/>
        <v>1.6602065392494769E-3</v>
      </c>
      <c r="M13" s="12">
        <f t="shared" si="6"/>
        <v>1.6602065392494769E-3</v>
      </c>
      <c r="N13" s="12">
        <f t="shared" si="6"/>
        <v>1.6602065392494769E-3</v>
      </c>
      <c r="O13" s="12">
        <f t="shared" si="6"/>
        <v>1.6602065392494769E-3</v>
      </c>
    </row>
    <row r="14" spans="1:15" x14ac:dyDescent="0.25">
      <c r="A14" t="s">
        <v>12</v>
      </c>
      <c r="B14" s="11">
        <f>-B73/B19</f>
        <v>4.693750781761789E-3</v>
      </c>
      <c r="C14" s="11">
        <f>-C73/C19</f>
        <v>2.3555167151678612E-2</v>
      </c>
      <c r="D14" s="11">
        <f>-D73/D19</f>
        <v>2.9027217477323685E-2</v>
      </c>
      <c r="E14" s="1"/>
      <c r="F14" s="12">
        <v>9.4999999999999998E-3</v>
      </c>
      <c r="G14" s="12">
        <v>1.2E-2</v>
      </c>
      <c r="H14" s="12">
        <v>1.7899999999999999E-2</v>
      </c>
      <c r="I14" s="12">
        <v>2.3699999999999999E-2</v>
      </c>
      <c r="J14" s="12">
        <v>2.9499999999999998E-2</v>
      </c>
      <c r="K14" s="12">
        <v>3.5999999999999997E-2</v>
      </c>
      <c r="L14" s="12">
        <v>4.1500000000000002E-2</v>
      </c>
      <c r="M14" s="12">
        <v>4.7500000000000001E-2</v>
      </c>
      <c r="N14" s="12">
        <v>5.3499999999999999E-2</v>
      </c>
      <c r="O14" s="12">
        <v>5.9499999999999997E-2</v>
      </c>
    </row>
    <row r="15" spans="1:15" x14ac:dyDescent="0.25">
      <c r="A15" t="s">
        <v>195</v>
      </c>
      <c r="B15" s="11">
        <f>-B28/B19</f>
        <v>1.2423387344681158E-2</v>
      </c>
      <c r="C15" s="11">
        <f t="shared" ref="C15:D15" si="7">-C28/C19</f>
        <v>1.5006831570728938E-2</v>
      </c>
      <c r="D15" s="11">
        <f t="shared" si="7"/>
        <v>1.4858686310330327E-2</v>
      </c>
      <c r="E15" s="1"/>
      <c r="F15" s="12">
        <f>$D15/2.5</f>
        <v>5.9434745241321307E-3</v>
      </c>
      <c r="G15" s="12">
        <f t="shared" ref="G15:O15" si="8">$D15/2.5</f>
        <v>5.9434745241321307E-3</v>
      </c>
      <c r="H15" s="12">
        <f t="shared" si="8"/>
        <v>5.9434745241321307E-3</v>
      </c>
      <c r="I15" s="12">
        <f t="shared" si="8"/>
        <v>5.9434745241321307E-3</v>
      </c>
      <c r="J15" s="12">
        <f t="shared" si="8"/>
        <v>5.9434745241321307E-3</v>
      </c>
      <c r="K15" s="12">
        <f t="shared" si="8"/>
        <v>5.9434745241321307E-3</v>
      </c>
      <c r="L15" s="12">
        <f t="shared" si="8"/>
        <v>5.9434745241321307E-3</v>
      </c>
      <c r="M15" s="12">
        <f t="shared" si="8"/>
        <v>5.9434745241321307E-3</v>
      </c>
      <c r="N15" s="12">
        <f t="shared" si="8"/>
        <v>5.9434745241321307E-3</v>
      </c>
      <c r="O15" s="12">
        <f t="shared" si="8"/>
        <v>5.9434745241321307E-3</v>
      </c>
    </row>
    <row r="17" spans="1:15" ht="15.75" x14ac:dyDescent="0.25">
      <c r="A17" s="8" t="s">
        <v>13</v>
      </c>
      <c r="B17" s="4"/>
      <c r="C17" s="4"/>
      <c r="D17" s="4"/>
      <c r="E17" s="4"/>
      <c r="F17" s="4"/>
      <c r="G17" s="4"/>
    </row>
    <row r="18" spans="1:15" x14ac:dyDescent="0.25">
      <c r="A18" t="s">
        <v>14</v>
      </c>
      <c r="B18" s="37" t="s">
        <v>190</v>
      </c>
      <c r="C18" s="37" t="s">
        <v>173</v>
      </c>
      <c r="D18" s="37" t="s">
        <v>174</v>
      </c>
      <c r="E18" s="37"/>
      <c r="F18" s="38" t="s">
        <v>189</v>
      </c>
      <c r="G18" s="38" t="s">
        <v>175</v>
      </c>
      <c r="H18" s="38" t="s">
        <v>176</v>
      </c>
      <c r="I18" s="38" t="s">
        <v>177</v>
      </c>
      <c r="J18" s="38" t="s">
        <v>178</v>
      </c>
      <c r="K18" s="38" t="s">
        <v>179</v>
      </c>
      <c r="L18" s="38" t="s">
        <v>180</v>
      </c>
      <c r="M18" s="38" t="s">
        <v>181</v>
      </c>
      <c r="N18" s="38" t="s">
        <v>182</v>
      </c>
      <c r="O18" s="38" t="s">
        <v>183</v>
      </c>
    </row>
    <row r="19" spans="1:15" x14ac:dyDescent="0.25">
      <c r="A19" t="s">
        <v>0</v>
      </c>
      <c r="B19" s="1">
        <v>23584.55</v>
      </c>
      <c r="C19" s="1">
        <v>22542.400000000001</v>
      </c>
      <c r="D19" s="1">
        <v>33905.42</v>
      </c>
      <c r="E19" s="1"/>
      <c r="F19" s="1">
        <f>$D19*(1+F4)</f>
        <v>40008.395599999996</v>
      </c>
      <c r="G19" s="1">
        <f>F19*(1+G4)</f>
        <v>47209.906807999992</v>
      </c>
      <c r="H19" s="1">
        <f t="shared" ref="H19:O19" si="9">G19*(1+H4)</f>
        <v>55707.690033439991</v>
      </c>
      <c r="I19" s="1">
        <f t="shared" si="9"/>
        <v>65735.07423945918</v>
      </c>
      <c r="J19" s="1">
        <f t="shared" si="9"/>
        <v>77567.387602561823</v>
      </c>
      <c r="K19" s="1">
        <f t="shared" si="9"/>
        <v>91529.517371022943</v>
      </c>
      <c r="L19" s="1">
        <f t="shared" si="9"/>
        <v>108004.83049780707</v>
      </c>
      <c r="M19" s="1">
        <f t="shared" si="9"/>
        <v>127445.69998741233</v>
      </c>
      <c r="N19" s="1">
        <f t="shared" si="9"/>
        <v>150385.92598514655</v>
      </c>
      <c r="O19" s="1">
        <f t="shared" si="9"/>
        <v>177455.39266247291</v>
      </c>
    </row>
    <row r="20" spans="1:15" x14ac:dyDescent="0.25">
      <c r="A20" t="s">
        <v>15</v>
      </c>
      <c r="B20" s="1">
        <v>0.13100953120856329</v>
      </c>
      <c r="C20" s="11">
        <f>C4</f>
        <v>-4.41878263524213E-2</v>
      </c>
      <c r="D20" s="11">
        <f t="shared" ref="D20:O20" si="10">D4</f>
        <v>0.50407321314500653</v>
      </c>
      <c r="E20" s="11"/>
      <c r="F20" s="11">
        <f t="shared" si="10"/>
        <v>0.18</v>
      </c>
      <c r="G20" s="11">
        <f t="shared" si="10"/>
        <v>0.18</v>
      </c>
      <c r="H20" s="11">
        <f t="shared" si="10"/>
        <v>0.18</v>
      </c>
      <c r="I20" s="11">
        <f t="shared" si="10"/>
        <v>0.18</v>
      </c>
      <c r="J20" s="11">
        <f t="shared" si="10"/>
        <v>0.18</v>
      </c>
      <c r="K20" s="11">
        <f t="shared" si="10"/>
        <v>0.18</v>
      </c>
      <c r="L20" s="11">
        <f t="shared" si="10"/>
        <v>0.18</v>
      </c>
      <c r="M20" s="11">
        <f t="shared" si="10"/>
        <v>0.18</v>
      </c>
      <c r="N20" s="11">
        <f t="shared" si="10"/>
        <v>0.18</v>
      </c>
      <c r="O20" s="11">
        <f t="shared" si="10"/>
        <v>0.18</v>
      </c>
    </row>
    <row r="21" spans="1:15" x14ac:dyDescent="0.25">
      <c r="A21" t="s">
        <v>3</v>
      </c>
      <c r="B21" s="3">
        <v>-20779.650000000001</v>
      </c>
      <c r="C21" s="3">
        <v>-16861.310000000001</v>
      </c>
      <c r="D21" s="3">
        <v>-25584.959999999999</v>
      </c>
      <c r="E21" s="1"/>
      <c r="F21" s="1">
        <f>F19*F5</f>
        <v>-30190.252799999998</v>
      </c>
      <c r="G21" s="1">
        <f>G22*G19</f>
        <v>-35624.498304000001</v>
      </c>
      <c r="H21" s="1">
        <f t="shared" ref="H21:O21" si="11">H22*H19</f>
        <v>-42036.907998719995</v>
      </c>
      <c r="I21" s="1">
        <f t="shared" si="11"/>
        <v>-49603.551438489587</v>
      </c>
      <c r="J21" s="1">
        <f t="shared" si="11"/>
        <v>-58532.190697417711</v>
      </c>
      <c r="K21" s="1">
        <f t="shared" si="11"/>
        <v>-69067.985022952897</v>
      </c>
      <c r="L21" s="1">
        <f t="shared" si="11"/>
        <v>-81500.222327084412</v>
      </c>
      <c r="M21" s="1">
        <f t="shared" si="11"/>
        <v>-96170.262345959592</v>
      </c>
      <c r="N21" s="1">
        <f t="shared" si="11"/>
        <v>-113480.90956823231</v>
      </c>
      <c r="O21" s="1">
        <f t="shared" si="11"/>
        <v>-133907.47329051411</v>
      </c>
    </row>
    <row r="22" spans="1:15" x14ac:dyDescent="0.25">
      <c r="A22" t="s">
        <v>16</v>
      </c>
      <c r="B22" s="11">
        <f>B5</f>
        <v>-0.88107044654233391</v>
      </c>
      <c r="C22" s="11">
        <f t="shared" ref="C22:O22" si="12">C5</f>
        <v>-0.7479820249840301</v>
      </c>
      <c r="D22" s="11">
        <f t="shared" si="12"/>
        <v>-0.75459793743891102</v>
      </c>
      <c r="E22" s="11"/>
      <c r="F22" s="11">
        <f t="shared" si="12"/>
        <v>-0.75459793743891102</v>
      </c>
      <c r="G22" s="11">
        <f t="shared" si="12"/>
        <v>-0.75459793743891102</v>
      </c>
      <c r="H22" s="11">
        <f t="shared" si="12"/>
        <v>-0.75459793743891102</v>
      </c>
      <c r="I22" s="11">
        <f t="shared" si="12"/>
        <v>-0.75459793743891102</v>
      </c>
      <c r="J22" s="11">
        <f t="shared" si="12"/>
        <v>-0.75459793743891102</v>
      </c>
      <c r="K22" s="11">
        <f t="shared" si="12"/>
        <v>-0.75459793743891102</v>
      </c>
      <c r="L22" s="11">
        <f t="shared" si="12"/>
        <v>-0.75459793743891102</v>
      </c>
      <c r="M22" s="11">
        <f t="shared" si="12"/>
        <v>-0.75459793743891102</v>
      </c>
      <c r="N22" s="11">
        <f t="shared" si="12"/>
        <v>-0.75459793743891102</v>
      </c>
      <c r="O22" s="11">
        <f t="shared" si="12"/>
        <v>-0.75459793743891102</v>
      </c>
    </row>
    <row r="23" spans="1:15" x14ac:dyDescent="0.25">
      <c r="A23" t="s">
        <v>17</v>
      </c>
      <c r="B23" s="1">
        <f>B19+B21</f>
        <v>2804.8999999999978</v>
      </c>
      <c r="C23" s="1">
        <f>C19+C21</f>
        <v>5681.09</v>
      </c>
      <c r="D23" s="1">
        <f>D19+D21</f>
        <v>8320.4599999999991</v>
      </c>
      <c r="E23" s="1"/>
      <c r="F23" s="1">
        <f>F19+F21</f>
        <v>9818.1427999999978</v>
      </c>
      <c r="G23" s="1">
        <f t="shared" ref="G23:O23" si="13">G19+G21</f>
        <v>11585.408503999992</v>
      </c>
      <c r="H23" s="1">
        <f t="shared" si="13"/>
        <v>13670.782034719996</v>
      </c>
      <c r="I23" s="1">
        <f t="shared" si="13"/>
        <v>16131.522800969593</v>
      </c>
      <c r="J23" s="1">
        <f t="shared" si="13"/>
        <v>19035.196905144112</v>
      </c>
      <c r="K23" s="1">
        <f t="shared" si="13"/>
        <v>22461.532348070046</v>
      </c>
      <c r="L23" s="1">
        <f t="shared" si="13"/>
        <v>26504.608170722655</v>
      </c>
      <c r="M23" s="1">
        <f t="shared" si="13"/>
        <v>31275.437641452736</v>
      </c>
      <c r="N23" s="1">
        <f t="shared" si="13"/>
        <v>36905.016416914237</v>
      </c>
      <c r="O23" s="1">
        <f t="shared" si="13"/>
        <v>43547.919371958793</v>
      </c>
    </row>
    <row r="24" spans="1:15" x14ac:dyDescent="0.25">
      <c r="A24" t="s">
        <v>18</v>
      </c>
      <c r="B24" s="11">
        <f>B23/B19</f>
        <v>0.11892955345766605</v>
      </c>
      <c r="C24" s="11">
        <f t="shared" ref="C24:D24" si="14">C23/C19</f>
        <v>0.2520179750159699</v>
      </c>
      <c r="D24" s="11">
        <f t="shared" si="14"/>
        <v>0.24540206256108904</v>
      </c>
      <c r="E24" s="1"/>
      <c r="F24" s="11">
        <f>F23/F19</f>
        <v>0.24540206256108901</v>
      </c>
      <c r="G24" s="11">
        <f t="shared" ref="G24:O24" si="15">G23/G19</f>
        <v>0.24540206256108893</v>
      </c>
      <c r="H24" s="11">
        <f t="shared" si="15"/>
        <v>0.24540206256108901</v>
      </c>
      <c r="I24" s="11">
        <f t="shared" si="15"/>
        <v>0.24540206256108901</v>
      </c>
      <c r="J24" s="11">
        <f t="shared" si="15"/>
        <v>0.24540206256108896</v>
      </c>
      <c r="K24" s="11">
        <f t="shared" si="15"/>
        <v>0.2454020625610889</v>
      </c>
      <c r="L24" s="11">
        <f t="shared" si="15"/>
        <v>0.24540206256108893</v>
      </c>
      <c r="M24" s="11">
        <f t="shared" si="15"/>
        <v>0.24540206256108896</v>
      </c>
      <c r="N24" s="11">
        <f t="shared" si="15"/>
        <v>0.24540206256108904</v>
      </c>
      <c r="O24" s="11">
        <f t="shared" si="15"/>
        <v>0.24540206256108901</v>
      </c>
    </row>
    <row r="25" spans="1:15" x14ac:dyDescent="0.25">
      <c r="A25" t="s">
        <v>4</v>
      </c>
      <c r="B25" s="1">
        <v>-2179.65</v>
      </c>
      <c r="C25" s="1">
        <v>-3751.8</v>
      </c>
      <c r="D25" s="1">
        <v>-4684.1899999999996</v>
      </c>
      <c r="E25" s="1"/>
      <c r="F25" s="1">
        <f>F6*F19</f>
        <v>-5527.3441999999995</v>
      </c>
      <c r="G25" s="1">
        <f t="shared" ref="G25:O25" si="16">G6*G19</f>
        <v>-6522.2661559999988</v>
      </c>
      <c r="H25" s="1">
        <f t="shared" si="16"/>
        <v>-7696.2740640799984</v>
      </c>
      <c r="I25" s="1">
        <f t="shared" si="16"/>
        <v>-9081.6033956143965</v>
      </c>
      <c r="J25" s="1">
        <f t="shared" si="16"/>
        <v>-10716.292006824988</v>
      </c>
      <c r="K25" s="1">
        <f t="shared" si="16"/>
        <v>-12645.224568053483</v>
      </c>
      <c r="L25" s="1">
        <f t="shared" si="16"/>
        <v>-14921.364990303109</v>
      </c>
      <c r="M25" s="1">
        <f t="shared" si="16"/>
        <v>-17607.210688557669</v>
      </c>
      <c r="N25" s="1">
        <f t="shared" si="16"/>
        <v>-20776.508612498048</v>
      </c>
      <c r="O25" s="1">
        <f t="shared" si="16"/>
        <v>-24516.280162747695</v>
      </c>
    </row>
    <row r="26" spans="1:15" x14ac:dyDescent="0.25">
      <c r="A26" t="s">
        <v>16</v>
      </c>
      <c r="B26" s="11">
        <f>B6</f>
        <v>-9.2418553671789375E-2</v>
      </c>
      <c r="C26" s="11">
        <f t="shared" ref="C26:O26" si="17">C6</f>
        <v>-0.16643303286251684</v>
      </c>
      <c r="D26" s="11">
        <f t="shared" si="17"/>
        <v>-0.13815460772938368</v>
      </c>
      <c r="E26" s="11"/>
      <c r="F26" s="11">
        <f t="shared" si="17"/>
        <v>-0.13815460772938368</v>
      </c>
      <c r="G26" s="11">
        <f t="shared" si="17"/>
        <v>-0.13815460772938368</v>
      </c>
      <c r="H26" s="11">
        <f t="shared" si="17"/>
        <v>-0.13815460772938368</v>
      </c>
      <c r="I26" s="11">
        <f t="shared" si="17"/>
        <v>-0.13815460772938368</v>
      </c>
      <c r="J26" s="11">
        <f t="shared" si="17"/>
        <v>-0.13815460772938368</v>
      </c>
      <c r="K26" s="11">
        <f t="shared" si="17"/>
        <v>-0.13815460772938368</v>
      </c>
      <c r="L26" s="11">
        <f t="shared" si="17"/>
        <v>-0.13815460772938368</v>
      </c>
      <c r="M26" s="11">
        <f t="shared" si="17"/>
        <v>-0.13815460772938368</v>
      </c>
      <c r="N26" s="11">
        <f t="shared" si="17"/>
        <v>-0.13815460772938368</v>
      </c>
      <c r="O26" s="11">
        <f t="shared" si="17"/>
        <v>-0.13815460772938368</v>
      </c>
    </row>
    <row r="27" spans="1:15" x14ac:dyDescent="0.25">
      <c r="A27" t="s">
        <v>19</v>
      </c>
      <c r="B27" s="1">
        <f>B23+B25</f>
        <v>625.24999999999773</v>
      </c>
      <c r="C27" s="1">
        <f>C23+C25</f>
        <v>1929.29</v>
      </c>
      <c r="D27" s="1">
        <f>D23+D25</f>
        <v>3636.2699999999995</v>
      </c>
      <c r="E27" s="1"/>
      <c r="F27" s="1">
        <f>F23+F25</f>
        <v>4290.7985999999983</v>
      </c>
      <c r="G27" s="1">
        <f t="shared" ref="G27:O27" si="18">G23+G25</f>
        <v>5063.142347999993</v>
      </c>
      <c r="H27" s="1">
        <f t="shared" si="18"/>
        <v>5974.5079706399974</v>
      </c>
      <c r="I27" s="1">
        <f t="shared" si="18"/>
        <v>7049.9194053551964</v>
      </c>
      <c r="J27" s="1">
        <f t="shared" si="18"/>
        <v>8318.9048983191242</v>
      </c>
      <c r="K27" s="1">
        <f t="shared" si="18"/>
        <v>9816.3077800165629</v>
      </c>
      <c r="L27" s="1">
        <f t="shared" si="18"/>
        <v>11583.243180419546</v>
      </c>
      <c r="M27" s="1">
        <f t="shared" si="18"/>
        <v>13668.226952895067</v>
      </c>
      <c r="N27" s="1">
        <f t="shared" si="18"/>
        <v>16128.507804416189</v>
      </c>
      <c r="O27" s="1">
        <f t="shared" si="18"/>
        <v>19031.639209211098</v>
      </c>
    </row>
    <row r="28" spans="1:15" x14ac:dyDescent="0.25">
      <c r="A28" t="s">
        <v>20</v>
      </c>
      <c r="B28" s="1">
        <v>-293</v>
      </c>
      <c r="C28" s="1">
        <v>-338.29</v>
      </c>
      <c r="D28" s="1">
        <v>-503.79</v>
      </c>
      <c r="E28" s="1"/>
      <c r="F28" s="1">
        <f t="shared" ref="F28:O28" ca="1" si="19">F108+F120</f>
        <v>-528.64343825734545</v>
      </c>
      <c r="G28" s="1">
        <f t="shared" ca="1" si="19"/>
        <v>-852.03631505734552</v>
      </c>
      <c r="H28" s="1">
        <f t="shared" ca="1" si="19"/>
        <v>-1284.1462677933455</v>
      </c>
      <c r="I28" s="1">
        <f t="shared" ca="1" si="19"/>
        <v>-1853.6335145939852</v>
      </c>
      <c r="J28" s="1">
        <f t="shared" ca="1" si="19"/>
        <v>-2595.9535188538889</v>
      </c>
      <c r="K28" s="1">
        <f t="shared" ca="1" si="19"/>
        <v>-3554.8746864620507</v>
      </c>
      <c r="L28" s="1">
        <f t="shared" ca="1" si="19"/>
        <v>-4784.3222680858225</v>
      </c>
      <c r="M28" s="1">
        <f t="shared" ca="1" si="19"/>
        <v>-6350.6167269403195</v>
      </c>
      <c r="N28" s="1">
        <f t="shared" ca="1" si="19"/>
        <v>-8335.1888371839941</v>
      </c>
      <c r="O28" s="1">
        <f t="shared" ca="1" si="19"/>
        <v>-10837.870612850062</v>
      </c>
    </row>
    <row r="29" spans="1:15" x14ac:dyDescent="0.25">
      <c r="A29" t="s">
        <v>21</v>
      </c>
      <c r="B29" s="1">
        <f>B27+B28</f>
        <v>332.24999999999773</v>
      </c>
      <c r="C29" s="1">
        <f>C27+C28</f>
        <v>1591</v>
      </c>
      <c r="D29" s="1">
        <f>D27+D28</f>
        <v>3132.4799999999996</v>
      </c>
      <c r="E29" s="1"/>
      <c r="F29" s="1">
        <f ca="1">F27+F28</f>
        <v>3762.155161742653</v>
      </c>
      <c r="G29" s="1">
        <f t="shared" ref="G29:O29" ca="1" si="20">G27+G28</f>
        <v>4211.1060329426473</v>
      </c>
      <c r="H29" s="1">
        <f t="shared" ca="1" si="20"/>
        <v>4690.3617028466524</v>
      </c>
      <c r="I29" s="1">
        <f t="shared" ca="1" si="20"/>
        <v>5196.2858907612117</v>
      </c>
      <c r="J29" s="1">
        <f t="shared" ca="1" si="20"/>
        <v>5722.9513794652357</v>
      </c>
      <c r="K29" s="1">
        <f t="shared" ca="1" si="20"/>
        <v>6261.4330935545122</v>
      </c>
      <c r="L29" s="1">
        <f t="shared" ca="1" si="20"/>
        <v>6798.9209123337232</v>
      </c>
      <c r="M29" s="1">
        <f t="shared" ca="1" si="20"/>
        <v>7317.6102259547479</v>
      </c>
      <c r="N29" s="1">
        <f t="shared" ca="1" si="20"/>
        <v>7793.3189672321951</v>
      </c>
      <c r="O29" s="1">
        <f t="shared" ca="1" si="20"/>
        <v>8193.7685963610365</v>
      </c>
    </row>
    <row r="30" spans="1:15" x14ac:dyDescent="0.25">
      <c r="A30" t="s">
        <v>22</v>
      </c>
      <c r="B30" s="1">
        <v>203.8</v>
      </c>
      <c r="C30" s="1">
        <v>18.2</v>
      </c>
      <c r="D30" s="1">
        <v>63.99</v>
      </c>
      <c r="E30" s="1"/>
      <c r="F30" s="1">
        <f ca="1">F143+F148+F153+F169</f>
        <v>-3185.56874189463</v>
      </c>
      <c r="G30" s="1">
        <f t="shared" ref="G30:O30" ca="1" si="21">G143+G148+G153+G169</f>
        <v>-3338.3874185252021</v>
      </c>
      <c r="H30" s="1">
        <f t="shared" ca="1" si="21"/>
        <v>-3193.0248998036977</v>
      </c>
      <c r="I30" s="1">
        <f t="shared" ca="1" si="21"/>
        <v>-3386.4597514625348</v>
      </c>
      <c r="J30" s="1">
        <f t="shared" ca="1" si="21"/>
        <v>-3299.1978732166153</v>
      </c>
      <c r="K30" s="1">
        <f t="shared" ca="1" si="21"/>
        <v>-3196.5951506548372</v>
      </c>
      <c r="L30" s="1">
        <f t="shared" ca="1" si="21"/>
        <v>-3073.9487792863165</v>
      </c>
      <c r="M30" s="1">
        <f t="shared" ca="1" si="21"/>
        <v>-4827.2681555364288</v>
      </c>
      <c r="N30" s="1">
        <f t="shared" ca="1" si="21"/>
        <v>-2981.2308915067156</v>
      </c>
      <c r="O30" s="1">
        <f t="shared" ca="1" si="21"/>
        <v>-2952.4001243589555</v>
      </c>
    </row>
    <row r="31" spans="1:15" x14ac:dyDescent="0.25">
      <c r="A31" t="s">
        <v>23</v>
      </c>
      <c r="B31" s="1">
        <f>SUM(B29:B30)</f>
        <v>536.04999999999768</v>
      </c>
      <c r="C31" s="1">
        <f>SUM(C29:C30)</f>
        <v>1609.2</v>
      </c>
      <c r="D31" s="1">
        <f>SUM(D29:D30)</f>
        <v>3196.4699999999993</v>
      </c>
      <c r="E31" s="1"/>
      <c r="F31" s="1">
        <f ca="1">F29+F30</f>
        <v>576.58641984802307</v>
      </c>
      <c r="G31" s="1">
        <f t="shared" ref="G31:O31" ca="1" si="22">G29+G30</f>
        <v>872.71861441744522</v>
      </c>
      <c r="H31" s="1">
        <f t="shared" ca="1" si="22"/>
        <v>1497.3368030429547</v>
      </c>
      <c r="I31" s="1">
        <f t="shared" ca="1" si="22"/>
        <v>1809.8261392986769</v>
      </c>
      <c r="J31" s="1">
        <f t="shared" ca="1" si="22"/>
        <v>2423.7535062486204</v>
      </c>
      <c r="K31" s="1">
        <f t="shared" ca="1" si="22"/>
        <v>3064.837942899675</v>
      </c>
      <c r="L31" s="1">
        <f t="shared" ca="1" si="22"/>
        <v>3724.9721330474067</v>
      </c>
      <c r="M31" s="1">
        <f t="shared" ca="1" si="22"/>
        <v>2490.3420704183191</v>
      </c>
      <c r="N31" s="1">
        <f t="shared" ca="1" si="22"/>
        <v>4812.0880757254799</v>
      </c>
      <c r="O31" s="1">
        <f t="shared" ca="1" si="22"/>
        <v>5241.368472002081</v>
      </c>
    </row>
    <row r="32" spans="1:15" x14ac:dyDescent="0.25">
      <c r="A32" t="s">
        <v>24</v>
      </c>
      <c r="B32" s="1">
        <v>-80.290000000000006</v>
      </c>
      <c r="C32" s="1">
        <v>-434.23</v>
      </c>
      <c r="D32" s="1">
        <v>-994.68</v>
      </c>
      <c r="E32" s="1"/>
      <c r="F32" s="1">
        <f ca="1">IF(F31&gt;0,-F31*'LBO VALUATION DRIVERS'!$B$25,0)</f>
        <v>-178.74179015288715</v>
      </c>
      <c r="G32" s="1">
        <f ca="1">IF(G31&gt;0,-G31*'LBO VALUATION DRIVERS'!$B$25,0)</f>
        <v>-270.54277046940803</v>
      </c>
      <c r="H32" s="1">
        <f ca="1">IF(H31&gt;0,-H31*'LBO VALUATION DRIVERS'!$B$25,0)</f>
        <v>-464.17440894331594</v>
      </c>
      <c r="I32" s="1">
        <f ca="1">IF(I31&gt;0,-I31*'LBO VALUATION DRIVERS'!$B$25,0)</f>
        <v>-561.04610318258983</v>
      </c>
      <c r="J32" s="1">
        <f ca="1">IF(J31&gt;0,-J31*'LBO VALUATION DRIVERS'!$B$25,0)</f>
        <v>-751.36358693707234</v>
      </c>
      <c r="K32" s="1">
        <f ca="1">IF(K31&gt;0,-K31*'LBO VALUATION DRIVERS'!$B$25,0)</f>
        <v>-950.09976229889924</v>
      </c>
      <c r="L32" s="1">
        <f ca="1">IF(L31&gt;0,-L31*'LBO VALUATION DRIVERS'!$B$25,0)</f>
        <v>-1154.741361244696</v>
      </c>
      <c r="M32" s="1">
        <f ca="1">IF(M31&gt;0,-M31*'LBO VALUATION DRIVERS'!$B$25,0)</f>
        <v>-772.00604182967891</v>
      </c>
      <c r="N32" s="1">
        <f ca="1">IF(N31&gt;0,-N31*'LBO VALUATION DRIVERS'!$B$25,0)</f>
        <v>-1491.7473034748987</v>
      </c>
      <c r="O32" s="1">
        <f ca="1">IF(O31&gt;0,-O31*'LBO VALUATION DRIVERS'!$B$25,0)</f>
        <v>-1624.824226320645</v>
      </c>
    </row>
    <row r="33" spans="1:15" s="2" customFormat="1" x14ac:dyDescent="0.25">
      <c r="A33" s="2" t="s">
        <v>25</v>
      </c>
      <c r="B33" s="20">
        <f>B31+B32</f>
        <v>455.75999999999766</v>
      </c>
      <c r="C33" s="20">
        <f>C31+C32</f>
        <v>1174.97</v>
      </c>
      <c r="D33" s="20">
        <f>D31+D32</f>
        <v>2201.7899999999995</v>
      </c>
      <c r="E33" s="20"/>
      <c r="F33" s="20">
        <f ca="1">F31+F32</f>
        <v>397.84462969513595</v>
      </c>
      <c r="G33" s="20">
        <f t="shared" ref="G33:O33" ca="1" si="23">G31+G32</f>
        <v>602.17584394803725</v>
      </c>
      <c r="H33" s="20">
        <f t="shared" ca="1" si="23"/>
        <v>1033.1623940996387</v>
      </c>
      <c r="I33" s="20">
        <f t="shared" ca="1" si="23"/>
        <v>1248.7800361160871</v>
      </c>
      <c r="J33" s="20">
        <f t="shared" ca="1" si="23"/>
        <v>1672.3899193115481</v>
      </c>
      <c r="K33" s="20">
        <f t="shared" ca="1" si="23"/>
        <v>2114.7381806007756</v>
      </c>
      <c r="L33" s="20">
        <f t="shared" ca="1" si="23"/>
        <v>2570.2307718027105</v>
      </c>
      <c r="M33" s="20">
        <f t="shared" ca="1" si="23"/>
        <v>1718.3360285886401</v>
      </c>
      <c r="N33" s="20">
        <f t="shared" ca="1" si="23"/>
        <v>3320.3407722505813</v>
      </c>
      <c r="O33" s="20">
        <f t="shared" ca="1" si="23"/>
        <v>3616.5442456814362</v>
      </c>
    </row>
    <row r="36" spans="1:15" ht="15.75" x14ac:dyDescent="0.25">
      <c r="A36" s="8" t="s">
        <v>94</v>
      </c>
      <c r="B36" s="4"/>
      <c r="C36" s="4"/>
      <c r="D36" s="4"/>
      <c r="E36" s="4"/>
      <c r="F36" s="4"/>
      <c r="G36" s="4"/>
    </row>
    <row r="37" spans="1:15" x14ac:dyDescent="0.25">
      <c r="B37" s="37" t="s">
        <v>190</v>
      </c>
      <c r="C37" s="37" t="s">
        <v>173</v>
      </c>
      <c r="D37" s="37" t="s">
        <v>174</v>
      </c>
      <c r="E37" s="37"/>
      <c r="F37" s="38" t="s">
        <v>189</v>
      </c>
      <c r="G37" s="38" t="s">
        <v>175</v>
      </c>
      <c r="H37" s="38" t="s">
        <v>176</v>
      </c>
      <c r="I37" s="38" t="s">
        <v>177</v>
      </c>
      <c r="J37" s="38" t="s">
        <v>178</v>
      </c>
      <c r="K37" s="38" t="s">
        <v>179</v>
      </c>
      <c r="L37" s="38" t="s">
        <v>180</v>
      </c>
      <c r="M37" s="38" t="s">
        <v>181</v>
      </c>
      <c r="N37" s="38" t="s">
        <v>182</v>
      </c>
      <c r="O37" s="38" t="s">
        <v>183</v>
      </c>
    </row>
    <row r="38" spans="1:15" x14ac:dyDescent="0.25">
      <c r="A38" t="s">
        <v>82</v>
      </c>
      <c r="B38" s="21">
        <v>5896.94</v>
      </c>
      <c r="C38" s="21">
        <v>9413.86</v>
      </c>
      <c r="D38" s="1">
        <v>19697.27</v>
      </c>
      <c r="E38" s="1">
        <f>'LBO VALUATION DRIVERS'!E59</f>
        <v>19697.27</v>
      </c>
      <c r="F38" s="1">
        <f t="shared" ref="F38:O38" ca="1" si="24">E38+F84</f>
        <v>5779.523536376335</v>
      </c>
      <c r="G38" s="1">
        <f t="shared" ca="1" si="24"/>
        <v>3822.5200721451852</v>
      </c>
      <c r="H38" s="1">
        <f t="shared" ca="1" si="24"/>
        <v>2213.5082869582388</v>
      </c>
      <c r="I38" s="1">
        <f t="shared" ca="1" si="24"/>
        <v>2000</v>
      </c>
      <c r="J38" s="1">
        <f t="shared" ca="1" si="24"/>
        <v>2000</v>
      </c>
      <c r="K38" s="1">
        <f t="shared" ca="1" si="24"/>
        <v>2000</v>
      </c>
      <c r="L38" s="1">
        <f t="shared" ca="1" si="24"/>
        <v>2000</v>
      </c>
      <c r="M38" s="1">
        <f t="shared" ca="1" si="24"/>
        <v>2000.0000000000009</v>
      </c>
      <c r="N38" s="1">
        <f t="shared" ca="1" si="24"/>
        <v>2000.0000000010514</v>
      </c>
      <c r="O38" s="1">
        <f t="shared" ca="1" si="24"/>
        <v>1999.9999993234705</v>
      </c>
    </row>
    <row r="39" spans="1:15" x14ac:dyDescent="0.25">
      <c r="A39" t="s">
        <v>46</v>
      </c>
      <c r="B39" s="1">
        <v>963.5</v>
      </c>
      <c r="C39" s="1">
        <v>671.25</v>
      </c>
      <c r="D39" s="1">
        <v>480.33</v>
      </c>
      <c r="E39" s="1">
        <f>'LBO VALUATION DRIVERS'!E60</f>
        <v>480.33</v>
      </c>
      <c r="F39" s="27">
        <f>F89</f>
        <v>566.78939999999989</v>
      </c>
      <c r="G39" s="27">
        <f t="shared" ref="G39:O39" si="25">G89</f>
        <v>668.81149199999982</v>
      </c>
      <c r="H39" s="27">
        <f t="shared" si="25"/>
        <v>789.19756055999983</v>
      </c>
      <c r="I39" s="27">
        <f t="shared" si="25"/>
        <v>931.25312146079955</v>
      </c>
      <c r="J39" s="27">
        <f t="shared" si="25"/>
        <v>1098.8786833237434</v>
      </c>
      <c r="K39" s="27">
        <f t="shared" si="25"/>
        <v>1296.6768463220171</v>
      </c>
      <c r="L39" s="27">
        <f t="shared" si="25"/>
        <v>1530.0786786599801</v>
      </c>
      <c r="M39" s="27">
        <f t="shared" si="25"/>
        <v>1805.4928408187764</v>
      </c>
      <c r="N39" s="27">
        <f t="shared" si="25"/>
        <v>2130.4815521661562</v>
      </c>
      <c r="O39" s="27">
        <f t="shared" si="25"/>
        <v>2513.968231556064</v>
      </c>
    </row>
    <row r="40" spans="1:15" x14ac:dyDescent="0.25">
      <c r="A40" t="s">
        <v>48</v>
      </c>
      <c r="B40" s="21">
        <v>1278.6099999999999</v>
      </c>
      <c r="C40" s="21">
        <v>3086.56</v>
      </c>
      <c r="D40" s="1">
        <v>2296.71</v>
      </c>
      <c r="E40" s="1">
        <f>'LBO VALUATION DRIVERS'!E61</f>
        <v>2296.71</v>
      </c>
      <c r="F40" s="27">
        <f>F90</f>
        <v>2710.1178</v>
      </c>
      <c r="G40" s="27">
        <f t="shared" ref="G40:O40" si="26">G90</f>
        <v>3197.9390040000003</v>
      </c>
      <c r="H40" s="27">
        <f t="shared" si="26"/>
        <v>3773.5680247199998</v>
      </c>
      <c r="I40" s="27">
        <f t="shared" si="26"/>
        <v>4452.8102691695995</v>
      </c>
      <c r="J40" s="27">
        <f t="shared" si="26"/>
        <v>5254.3161176201265</v>
      </c>
      <c r="K40" s="27">
        <f t="shared" si="26"/>
        <v>6200.0930187917493</v>
      </c>
      <c r="L40" s="27">
        <f t="shared" si="26"/>
        <v>7316.1097621742638</v>
      </c>
      <c r="M40" s="27">
        <f t="shared" si="26"/>
        <v>8633.0095193656307</v>
      </c>
      <c r="N40" s="27">
        <f t="shared" si="26"/>
        <v>10186.951232851443</v>
      </c>
      <c r="O40" s="27">
        <f t="shared" si="26"/>
        <v>12020.602454764703</v>
      </c>
    </row>
    <row r="41" spans="1:15" x14ac:dyDescent="0.25">
      <c r="A41" t="s">
        <v>8</v>
      </c>
      <c r="B41" s="1">
        <v>1240.46</v>
      </c>
      <c r="C41" s="1">
        <v>2833.55</v>
      </c>
      <c r="D41" s="1">
        <v>3601.35</v>
      </c>
      <c r="E41" s="1">
        <f>'LBO VALUATION DRIVERS'!E62</f>
        <v>3601.35</v>
      </c>
      <c r="F41" s="1">
        <f t="shared" ref="F41:O41" si="27">F10*F19</f>
        <v>4249.5929999999998</v>
      </c>
      <c r="G41" s="1">
        <f t="shared" si="27"/>
        <v>5014.5197399999988</v>
      </c>
      <c r="H41" s="1">
        <f t="shared" si="27"/>
        <v>5917.1332931999987</v>
      </c>
      <c r="I41" s="1">
        <f t="shared" si="27"/>
        <v>6982.2172859759976</v>
      </c>
      <c r="J41" s="1">
        <f t="shared" si="27"/>
        <v>8239.0163974516763</v>
      </c>
      <c r="K41" s="1">
        <f t="shared" si="27"/>
        <v>9722.0393489929775</v>
      </c>
      <c r="L41" s="1">
        <f t="shared" si="27"/>
        <v>11472.006431811713</v>
      </c>
      <c r="M41" s="1">
        <f t="shared" si="27"/>
        <v>13536.96758953782</v>
      </c>
      <c r="N41" s="1">
        <f t="shared" si="27"/>
        <v>15973.621755654627</v>
      </c>
      <c r="O41" s="1">
        <f t="shared" si="27"/>
        <v>18848.87367167246</v>
      </c>
    </row>
    <row r="42" spans="1:15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t="s">
        <v>83</v>
      </c>
      <c r="B43" s="1"/>
      <c r="C43" s="1"/>
      <c r="D43" s="1"/>
      <c r="E43" s="1">
        <f ca="1">'LBO VALUATION DRIVERS'!E64</f>
        <v>2908.5455825734552</v>
      </c>
      <c r="F43" s="1">
        <f t="shared" ref="F43:O43" ca="1" si="28">E43+F120</f>
        <v>2617.6910243161096</v>
      </c>
      <c r="G43" s="1">
        <f t="shared" ca="1" si="28"/>
        <v>2326.836466058764</v>
      </c>
      <c r="H43" s="1">
        <f t="shared" ca="1" si="28"/>
        <v>2035.9819078014184</v>
      </c>
      <c r="I43" s="1">
        <f t="shared" ca="1" si="28"/>
        <v>1745.1273495440728</v>
      </c>
      <c r="J43" s="1">
        <f t="shared" ca="1" si="28"/>
        <v>1454.2727912867272</v>
      </c>
      <c r="K43" s="1">
        <f t="shared" ca="1" si="28"/>
        <v>1163.4182330293816</v>
      </c>
      <c r="L43" s="1">
        <f t="shared" ca="1" si="28"/>
        <v>872.56367477203605</v>
      </c>
      <c r="M43" s="1">
        <f t="shared" ca="1" si="28"/>
        <v>581.70911651469055</v>
      </c>
      <c r="N43" s="1">
        <f t="shared" ca="1" si="28"/>
        <v>290.85455825734505</v>
      </c>
      <c r="O43" s="1">
        <f t="shared" ca="1" si="28"/>
        <v>-4.5474735088646412E-13</v>
      </c>
    </row>
    <row r="44" spans="1:15" s="39" customFormat="1" x14ac:dyDescent="0.25">
      <c r="A44" s="39" t="s">
        <v>49</v>
      </c>
      <c r="B44" s="41">
        <v>789.1</v>
      </c>
      <c r="C44" s="41">
        <v>992.75</v>
      </c>
      <c r="D44" s="41">
        <v>1483.68</v>
      </c>
      <c r="E44" s="41">
        <f>'LBO VALUATION DRIVERS'!E65</f>
        <v>1483.68</v>
      </c>
      <c r="F44" s="41">
        <f>F109</f>
        <v>1480.2808782</v>
      </c>
      <c r="G44" s="41">
        <f t="shared" ref="G44:O44" si="29">G109</f>
        <v>1485.6180030959999</v>
      </c>
      <c r="H44" s="41">
        <f t="shared" si="29"/>
        <v>1489.493945158576</v>
      </c>
      <c r="I44" s="41">
        <f t="shared" si="29"/>
        <v>1484.6362482971188</v>
      </c>
      <c r="J44" s="41">
        <f t="shared" si="29"/>
        <v>1467.7752219761487</v>
      </c>
      <c r="K44" s="41">
        <f t="shared" si="29"/>
        <v>1498.8177191282689</v>
      </c>
      <c r="L44" s="41">
        <f t="shared" si="29"/>
        <v>1487.5504749587853</v>
      </c>
      <c r="M44" s="41">
        <f t="shared" si="29"/>
        <v>1481.4590556778967</v>
      </c>
      <c r="N44" s="41">
        <f t="shared" si="29"/>
        <v>1482.7718169565887</v>
      </c>
      <c r="O44" s="41">
        <f t="shared" si="29"/>
        <v>1494.3516257810097</v>
      </c>
    </row>
    <row r="45" spans="1:15" x14ac:dyDescent="0.25">
      <c r="A45" t="s">
        <v>84</v>
      </c>
      <c r="B45" s="1">
        <v>149.28</v>
      </c>
      <c r="C45" s="1">
        <v>95.57</v>
      </c>
      <c r="D45" s="1">
        <v>51.64</v>
      </c>
      <c r="E45" s="1">
        <f>'LBO VALUATION DRIVERS'!E66</f>
        <v>60932.020000000004</v>
      </c>
      <c r="F45" s="1">
        <f>F114</f>
        <v>61077.709999999992</v>
      </c>
      <c r="G45" s="1">
        <f t="shared" ref="G45:O45" si="30">G114</f>
        <v>61077.709999999992</v>
      </c>
      <c r="H45" s="1">
        <f t="shared" si="30"/>
        <v>61077.709999999992</v>
      </c>
      <c r="I45" s="1">
        <f t="shared" si="30"/>
        <v>61077.709999999992</v>
      </c>
      <c r="J45" s="1">
        <f t="shared" si="30"/>
        <v>61077.709999999992</v>
      </c>
      <c r="K45" s="1">
        <f t="shared" si="30"/>
        <v>61077.709999999992</v>
      </c>
      <c r="L45" s="1">
        <f t="shared" si="30"/>
        <v>61077.709999999992</v>
      </c>
      <c r="M45" s="1">
        <f t="shared" si="30"/>
        <v>61077.709999999992</v>
      </c>
      <c r="N45" s="1">
        <f t="shared" si="30"/>
        <v>61077.709999999992</v>
      </c>
      <c r="O45" s="1">
        <f t="shared" si="30"/>
        <v>61077.709999999992</v>
      </c>
    </row>
    <row r="46" spans="1:15" x14ac:dyDescent="0.25">
      <c r="A46" t="s">
        <v>9</v>
      </c>
      <c r="B46" s="1">
        <v>593.55999999999995</v>
      </c>
      <c r="C46" s="1">
        <v>593.55999999999995</v>
      </c>
      <c r="D46" s="1">
        <v>593.55999999999995</v>
      </c>
      <c r="E46" s="1">
        <f>'LBO VALUATION DRIVERS'!E67</f>
        <v>593.55999999999995</v>
      </c>
      <c r="F46" s="1">
        <f t="shared" ref="F46:O46" si="31">F11*F19</f>
        <v>700.40079999999989</v>
      </c>
      <c r="G46" s="1">
        <f t="shared" si="31"/>
        <v>826.47294399999987</v>
      </c>
      <c r="H46" s="1">
        <f t="shared" si="31"/>
        <v>975.23807391999981</v>
      </c>
      <c r="I46" s="1">
        <f t="shared" si="31"/>
        <v>1150.7809272255997</v>
      </c>
      <c r="J46" s="1">
        <f t="shared" si="31"/>
        <v>1357.9214941262073</v>
      </c>
      <c r="K46" s="1">
        <f t="shared" si="31"/>
        <v>1602.3473630689246</v>
      </c>
      <c r="L46" s="1">
        <f t="shared" si="31"/>
        <v>1890.769888421331</v>
      </c>
      <c r="M46" s="1">
        <f t="shared" si="31"/>
        <v>2231.1084683371705</v>
      </c>
      <c r="N46" s="1">
        <f t="shared" si="31"/>
        <v>2632.707992637861</v>
      </c>
      <c r="O46" s="1">
        <f t="shared" si="31"/>
        <v>3106.5954313126758</v>
      </c>
    </row>
    <row r="47" spans="1:15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s="23" customFormat="1" x14ac:dyDescent="0.25">
      <c r="A48" s="23" t="s">
        <v>85</v>
      </c>
      <c r="B48" s="24">
        <f>SUM(B38:B47)</f>
        <v>10911.449999999999</v>
      </c>
      <c r="C48" s="24">
        <f>SUM(C38:C47)</f>
        <v>17687.100000000002</v>
      </c>
      <c r="D48" s="24">
        <f>SUM(D38:D47)</f>
        <v>28204.54</v>
      </c>
      <c r="E48" s="24">
        <f ca="1">'LBO VALUATION DRIVERS'!E69</f>
        <v>91993.465582573466</v>
      </c>
      <c r="F48" s="29">
        <f t="shared" ref="F48:O48" ca="1" si="32">SUM(F38:F47)</f>
        <v>79182.106438892442</v>
      </c>
      <c r="G48" s="29">
        <f t="shared" ca="1" si="32"/>
        <v>78420.42772129993</v>
      </c>
      <c r="H48" s="29">
        <f t="shared" ca="1" si="32"/>
        <v>78271.831092318229</v>
      </c>
      <c r="I48" s="29">
        <f t="shared" ca="1" si="32"/>
        <v>79824.535201673178</v>
      </c>
      <c r="J48" s="29">
        <f t="shared" ca="1" si="32"/>
        <v>81949.890705784623</v>
      </c>
      <c r="K48" s="29">
        <f t="shared" ca="1" si="32"/>
        <v>84561.102529333308</v>
      </c>
      <c r="L48" s="29">
        <f t="shared" ca="1" si="32"/>
        <v>87646.788910798103</v>
      </c>
      <c r="M48" s="29">
        <f t="shared" ca="1" si="32"/>
        <v>91347.456590251983</v>
      </c>
      <c r="N48" s="29">
        <f t="shared" ca="1" si="32"/>
        <v>95775.098908525062</v>
      </c>
      <c r="O48" s="29">
        <f t="shared" ca="1" si="32"/>
        <v>101062.10141441037</v>
      </c>
    </row>
    <row r="49" spans="1:15" x14ac:dyDescent="0.25">
      <c r="D49" s="1"/>
      <c r="E49" s="1">
        <f>'LBO VALUATION DRIVERS'!E70</f>
        <v>0</v>
      </c>
    </row>
    <row r="50" spans="1:15" x14ac:dyDescent="0.25">
      <c r="A50" t="s">
        <v>86</v>
      </c>
      <c r="B50" s="25">
        <v>7802.47</v>
      </c>
      <c r="C50" s="25">
        <v>7386.62</v>
      </c>
      <c r="D50" s="1">
        <v>15195.82</v>
      </c>
      <c r="E50" s="1">
        <f>'LBO VALUATION DRIVERS'!E71</f>
        <v>15195.82</v>
      </c>
      <c r="F50" s="27">
        <f>-F91</f>
        <v>4135.65106849315</v>
      </c>
      <c r="G50" s="27">
        <f t="shared" ref="G50:O50" si="33">-G91</f>
        <v>4880.0682608219176</v>
      </c>
      <c r="H50" s="27">
        <f t="shared" si="33"/>
        <v>5758.4805477698628</v>
      </c>
      <c r="I50" s="27">
        <f t="shared" si="33"/>
        <v>6795.007046368436</v>
      </c>
      <c r="J50" s="27">
        <f t="shared" si="33"/>
        <v>8018.1083147147547</v>
      </c>
      <c r="K50" s="27">
        <f t="shared" si="33"/>
        <v>9461.3678113634105</v>
      </c>
      <c r="L50" s="27">
        <f t="shared" si="33"/>
        <v>11164.414017408824</v>
      </c>
      <c r="M50" s="27">
        <f t="shared" si="33"/>
        <v>13174.008540542411</v>
      </c>
      <c r="N50" s="27">
        <f t="shared" si="33"/>
        <v>15545.330077840043</v>
      </c>
      <c r="O50" s="27">
        <f t="shared" si="33"/>
        <v>18343.489491851247</v>
      </c>
    </row>
    <row r="51" spans="1:15" x14ac:dyDescent="0.25">
      <c r="A51" t="s">
        <v>10</v>
      </c>
      <c r="B51" s="25">
        <v>219.06</v>
      </c>
      <c r="C51" s="25">
        <v>630.87000000000012</v>
      </c>
      <c r="D51" s="1">
        <v>1201.8300000000002</v>
      </c>
      <c r="E51" s="1">
        <f>'LBO VALUATION DRIVERS'!E72</f>
        <v>1201.8300000000002</v>
      </c>
      <c r="F51" s="27">
        <f t="shared" ref="F51:O51" si="34">F12*F19</f>
        <v>1418.1594000000002</v>
      </c>
      <c r="G51" s="27">
        <f t="shared" si="34"/>
        <v>1673.4280920000001</v>
      </c>
      <c r="H51" s="27">
        <f t="shared" si="34"/>
        <v>1974.6451485600003</v>
      </c>
      <c r="I51" s="27">
        <f t="shared" si="34"/>
        <v>2330.0812753007999</v>
      </c>
      <c r="J51" s="27">
        <f t="shared" si="34"/>
        <v>2749.4959048549435</v>
      </c>
      <c r="K51" s="27">
        <f t="shared" si="34"/>
        <v>3244.405167728833</v>
      </c>
      <c r="L51" s="27">
        <f t="shared" si="34"/>
        <v>3828.3980979200228</v>
      </c>
      <c r="M51" s="27">
        <f t="shared" si="34"/>
        <v>4517.5097555456268</v>
      </c>
      <c r="N51" s="27">
        <f t="shared" si="34"/>
        <v>5330.661511543839</v>
      </c>
      <c r="O51" s="27">
        <f t="shared" si="34"/>
        <v>6290.18058362173</v>
      </c>
    </row>
    <row r="52" spans="1:15" x14ac:dyDescent="0.25">
      <c r="B52" s="25"/>
      <c r="C52" s="25"/>
      <c r="D52" s="1"/>
      <c r="E52" s="1">
        <f>'LBO VALUATION DRIVERS'!E73</f>
        <v>0</v>
      </c>
      <c r="F52" s="27"/>
      <c r="G52" s="27"/>
      <c r="H52" s="27"/>
      <c r="I52" s="27"/>
      <c r="J52" s="27"/>
      <c r="K52" s="27"/>
      <c r="L52" s="27"/>
      <c r="M52" s="27"/>
      <c r="N52" s="27"/>
      <c r="O52" s="27"/>
    </row>
    <row r="53" spans="1:15" x14ac:dyDescent="0.25">
      <c r="A53" t="s">
        <v>87</v>
      </c>
      <c r="B53" s="25">
        <v>368.78</v>
      </c>
      <c r="C53" s="25">
        <v>320.44</v>
      </c>
      <c r="D53" s="1">
        <v>272.98</v>
      </c>
      <c r="E53" s="1">
        <f ca="1">'LBO VALUATION DRIVERS'!E74</f>
        <v>59636.239070415395</v>
      </c>
      <c r="F53" s="1">
        <f ca="1">F142+F147+F152+F168</f>
        <v>57260.742628546097</v>
      </c>
      <c r="G53" s="1">
        <f t="shared" ref="G53:O53" ca="1" si="35">G142+G147+G152+G168</f>
        <v>54885.246186676799</v>
      </c>
      <c r="H53" s="1">
        <f t="shared" ca="1" si="35"/>
        <v>52509.749744807494</v>
      </c>
      <c r="I53" s="1">
        <f t="shared" ca="1" si="35"/>
        <v>51405.063663876586</v>
      </c>
      <c r="J53" s="1">
        <f t="shared" ca="1" si="35"/>
        <v>50195.869266756148</v>
      </c>
      <c r="K53" s="1">
        <f t="shared" ca="1" si="35"/>
        <v>48730.994131038075</v>
      </c>
      <c r="L53" s="1">
        <f t="shared" ca="1" si="35"/>
        <v>46932.058181874272</v>
      </c>
      <c r="M53" s="1">
        <f t="shared" ca="1" si="35"/>
        <v>46183.407793324979</v>
      </c>
      <c r="N53" s="1">
        <f t="shared" ca="1" si="35"/>
        <v>44068.150532837361</v>
      </c>
      <c r="O53" s="1">
        <f t="shared" ca="1" si="35"/>
        <v>41935.989401993233</v>
      </c>
    </row>
    <row r="54" spans="1:15" x14ac:dyDescent="0.25">
      <c r="A54" t="s">
        <v>11</v>
      </c>
      <c r="B54" s="25">
        <v>107.45</v>
      </c>
      <c r="C54" s="25">
        <v>73.34</v>
      </c>
      <c r="D54" s="1">
        <v>56.29</v>
      </c>
      <c r="E54" s="1">
        <f>'LBO VALUATION DRIVERS'!E75</f>
        <v>56.29</v>
      </c>
      <c r="F54" s="27">
        <f t="shared" ref="F54:O54" si="36">F13*F19</f>
        <v>66.422199999999989</v>
      </c>
      <c r="G54" s="27">
        <f t="shared" si="36"/>
        <v>78.378195999999988</v>
      </c>
      <c r="H54" s="27">
        <f t="shared" si="36"/>
        <v>92.486271279999983</v>
      </c>
      <c r="I54" s="27">
        <f t="shared" si="36"/>
        <v>109.13380011039996</v>
      </c>
      <c r="J54" s="27">
        <f t="shared" si="36"/>
        <v>128.77788413027193</v>
      </c>
      <c r="K54" s="27">
        <f t="shared" si="36"/>
        <v>151.95790327372089</v>
      </c>
      <c r="L54" s="27">
        <f t="shared" si="36"/>
        <v>179.31032586299062</v>
      </c>
      <c r="M54" s="27">
        <f t="shared" si="36"/>
        <v>211.58618451832893</v>
      </c>
      <c r="N54" s="27">
        <f t="shared" si="36"/>
        <v>249.67169773162811</v>
      </c>
      <c r="O54" s="27">
        <f t="shared" si="36"/>
        <v>294.61260332332114</v>
      </c>
    </row>
    <row r="55" spans="1:15" x14ac:dyDescent="0.25">
      <c r="A55" t="s">
        <v>88</v>
      </c>
      <c r="B55" s="1">
        <v>2413.69</v>
      </c>
      <c r="C55" s="1">
        <v>9275.83</v>
      </c>
      <c r="D55" s="1">
        <v>11477.62</v>
      </c>
      <c r="E55" s="1">
        <f ca="1">'LBO VALUATION DRIVERS'!E77</f>
        <v>15903.286512158054</v>
      </c>
      <c r="F55" s="27">
        <f ca="1">F179</f>
        <v>16301.13114185319</v>
      </c>
      <c r="G55" s="27">
        <f t="shared" ref="G55:O55" ca="1" si="37">G179</f>
        <v>16903.306985801228</v>
      </c>
      <c r="H55" s="27">
        <f t="shared" ca="1" si="37"/>
        <v>17936.469379900867</v>
      </c>
      <c r="I55" s="27">
        <f t="shared" ca="1" si="37"/>
        <v>19185.249416016955</v>
      </c>
      <c r="J55" s="27">
        <f t="shared" ca="1" si="37"/>
        <v>20857.639335328502</v>
      </c>
      <c r="K55" s="27">
        <f t="shared" ca="1" si="37"/>
        <v>22972.377515929278</v>
      </c>
      <c r="L55" s="27">
        <f t="shared" ca="1" si="37"/>
        <v>25542.60828773199</v>
      </c>
      <c r="M55" s="27">
        <f t="shared" ca="1" si="37"/>
        <v>27260.944316320631</v>
      </c>
      <c r="N55" s="27">
        <f t="shared" ca="1" si="37"/>
        <v>30581.28508857117</v>
      </c>
      <c r="O55" s="27">
        <f t="shared" ca="1" si="37"/>
        <v>34197.829334279195</v>
      </c>
    </row>
    <row r="56" spans="1:15" x14ac:dyDescent="0.25">
      <c r="D56" s="1"/>
      <c r="E56" s="1">
        <f>'LBO VALUATION DRIVERS'!E78</f>
        <v>0</v>
      </c>
    </row>
    <row r="57" spans="1:15" s="23" customFormat="1" x14ac:dyDescent="0.25">
      <c r="A57" s="23" t="s">
        <v>89</v>
      </c>
      <c r="B57" s="26">
        <f>SUM(B50:B55)</f>
        <v>10911.450000000003</v>
      </c>
      <c r="C57" s="26">
        <f>SUM(C50:C55)</f>
        <v>17687.099999999999</v>
      </c>
      <c r="D57" s="24">
        <f>SUM(D50:D56)</f>
        <v>28204.54</v>
      </c>
      <c r="E57" s="24">
        <f ca="1">'LBO VALUATION DRIVERS'!E79</f>
        <v>91993.465582573452</v>
      </c>
      <c r="F57" s="29">
        <f t="shared" ref="F57:O57" ca="1" si="38">SUM(F50:F56)</f>
        <v>79182.106438892442</v>
      </c>
      <c r="G57" s="29">
        <f t="shared" ca="1" si="38"/>
        <v>78420.427721299944</v>
      </c>
      <c r="H57" s="29">
        <f t="shared" ca="1" si="38"/>
        <v>78271.831092318229</v>
      </c>
      <c r="I57" s="29">
        <f t="shared" ca="1" si="38"/>
        <v>79824.535201673178</v>
      </c>
      <c r="J57" s="29">
        <f t="shared" ca="1" si="38"/>
        <v>81949.890705784623</v>
      </c>
      <c r="K57" s="29">
        <f t="shared" ca="1" si="38"/>
        <v>84561.102529333322</v>
      </c>
      <c r="L57" s="29">
        <f t="shared" ca="1" si="38"/>
        <v>87646.788910798103</v>
      </c>
      <c r="M57" s="29">
        <f t="shared" ca="1" si="38"/>
        <v>91347.456590251968</v>
      </c>
      <c r="N57" s="29">
        <f t="shared" ca="1" si="38"/>
        <v>95775.098908524029</v>
      </c>
      <c r="O57" s="29">
        <f t="shared" ca="1" si="38"/>
        <v>101062.10141506873</v>
      </c>
    </row>
    <row r="59" spans="1:15" x14ac:dyDescent="0.25">
      <c r="A59" s="2" t="s">
        <v>96</v>
      </c>
      <c r="B59" s="27">
        <f t="shared" ref="B59:O59" si="39">B48-B57</f>
        <v>0</v>
      </c>
      <c r="C59" s="27">
        <f t="shared" si="39"/>
        <v>0</v>
      </c>
      <c r="D59" s="27">
        <f t="shared" si="39"/>
        <v>0</v>
      </c>
      <c r="E59" s="27">
        <f t="shared" ca="1" si="39"/>
        <v>0</v>
      </c>
      <c r="F59" s="27">
        <f t="shared" ca="1" si="39"/>
        <v>0</v>
      </c>
      <c r="G59" s="27">
        <f t="shared" ca="1" si="39"/>
        <v>0</v>
      </c>
      <c r="H59" s="27">
        <f t="shared" ca="1" si="39"/>
        <v>0</v>
      </c>
      <c r="I59" s="27">
        <f t="shared" ca="1" si="39"/>
        <v>0</v>
      </c>
      <c r="J59" s="27">
        <f t="shared" ca="1" si="39"/>
        <v>0</v>
      </c>
      <c r="K59" s="27">
        <f t="shared" ca="1" si="39"/>
        <v>0</v>
      </c>
      <c r="L59" s="27">
        <f t="shared" ca="1" si="39"/>
        <v>0</v>
      </c>
      <c r="M59" s="27">
        <f t="shared" ca="1" si="39"/>
        <v>0</v>
      </c>
      <c r="N59" s="56">
        <f t="shared" ca="1" si="39"/>
        <v>1.0331859812140465E-9</v>
      </c>
      <c r="O59" s="56">
        <f t="shared" ca="1" si="39"/>
        <v>-6.5835774876177311E-7</v>
      </c>
    </row>
    <row r="62" spans="1:15" ht="15.75" x14ac:dyDescent="0.25">
      <c r="A62" s="8" t="s">
        <v>97</v>
      </c>
      <c r="B62" s="4"/>
      <c r="C62" s="4"/>
      <c r="D62" s="4"/>
      <c r="E62" s="4"/>
      <c r="F62" s="4"/>
      <c r="G62" s="4"/>
    </row>
    <row r="63" spans="1:15" x14ac:dyDescent="0.25">
      <c r="A63" t="s">
        <v>14</v>
      </c>
      <c r="B63" s="37" t="s">
        <v>190</v>
      </c>
      <c r="C63" s="37" t="s">
        <v>173</v>
      </c>
      <c r="D63" s="37" t="s">
        <v>174</v>
      </c>
      <c r="E63" s="37"/>
      <c r="F63" s="38" t="s">
        <v>189</v>
      </c>
      <c r="G63" s="38" t="s">
        <v>175</v>
      </c>
      <c r="H63" s="38" t="s">
        <v>176</v>
      </c>
      <c r="I63" s="38" t="s">
        <v>177</v>
      </c>
      <c r="J63" s="38" t="s">
        <v>178</v>
      </c>
      <c r="K63" s="38" t="s">
        <v>179</v>
      </c>
      <c r="L63" s="38" t="s">
        <v>180</v>
      </c>
      <c r="M63" s="38" t="s">
        <v>181</v>
      </c>
      <c r="N63" s="38" t="s">
        <v>182</v>
      </c>
      <c r="O63" s="38" t="s">
        <v>183</v>
      </c>
    </row>
    <row r="64" spans="1:15" x14ac:dyDescent="0.25">
      <c r="A64" t="s">
        <v>25</v>
      </c>
      <c r="B64" s="1">
        <f>B33</f>
        <v>455.75999999999766</v>
      </c>
      <c r="C64" s="1">
        <f>C33</f>
        <v>1174.97</v>
      </c>
      <c r="D64" s="1">
        <f>D33</f>
        <v>2201.7899999999995</v>
      </c>
      <c r="F64" s="27">
        <f t="shared" ref="F64:O64" ca="1" si="40">F33</f>
        <v>397.84462969513595</v>
      </c>
      <c r="G64" s="27">
        <f t="shared" ca="1" si="40"/>
        <v>602.17584394803725</v>
      </c>
      <c r="H64" s="27">
        <f t="shared" ca="1" si="40"/>
        <v>1033.1623940996387</v>
      </c>
      <c r="I64" s="27">
        <f t="shared" ca="1" si="40"/>
        <v>1248.7800361160871</v>
      </c>
      <c r="J64" s="27">
        <f t="shared" ca="1" si="40"/>
        <v>1672.3899193115481</v>
      </c>
      <c r="K64" s="27">
        <f t="shared" ca="1" si="40"/>
        <v>2114.7381806007756</v>
      </c>
      <c r="L64" s="27">
        <f t="shared" ca="1" si="40"/>
        <v>2570.2307718027105</v>
      </c>
      <c r="M64" s="27">
        <f t="shared" ca="1" si="40"/>
        <v>1718.3360285886401</v>
      </c>
      <c r="N64" s="27">
        <f t="shared" ca="1" si="40"/>
        <v>3320.3407722505813</v>
      </c>
      <c r="O64" s="27">
        <f t="shared" ca="1" si="40"/>
        <v>3616.5442456814362</v>
      </c>
    </row>
    <row r="65" spans="1:15" x14ac:dyDescent="0.25">
      <c r="A65" t="s">
        <v>98</v>
      </c>
      <c r="B65">
        <v>293</v>
      </c>
      <c r="C65">
        <v>338.29</v>
      </c>
      <c r="D65">
        <v>503.79</v>
      </c>
      <c r="F65" s="27">
        <f t="shared" ref="F65:O65" ca="1" si="41">-(F108+F120)</f>
        <v>528.64343825734545</v>
      </c>
      <c r="G65" s="27">
        <f t="shared" ca="1" si="41"/>
        <v>852.03631505734552</v>
      </c>
      <c r="H65" s="27">
        <f t="shared" ca="1" si="41"/>
        <v>1284.1462677933455</v>
      </c>
      <c r="I65" s="27">
        <f t="shared" ca="1" si="41"/>
        <v>1853.6335145939852</v>
      </c>
      <c r="J65" s="27">
        <f t="shared" ca="1" si="41"/>
        <v>2595.9535188538889</v>
      </c>
      <c r="K65" s="27">
        <f t="shared" ca="1" si="41"/>
        <v>3554.8746864620507</v>
      </c>
      <c r="L65" s="27">
        <f t="shared" ca="1" si="41"/>
        <v>4784.3222680858225</v>
      </c>
      <c r="M65" s="27">
        <f t="shared" ca="1" si="41"/>
        <v>6350.6167269403195</v>
      </c>
      <c r="N65" s="27">
        <f t="shared" ca="1" si="41"/>
        <v>8335.1888371839941</v>
      </c>
      <c r="O65" s="27">
        <f t="shared" ca="1" si="41"/>
        <v>10837.870612850062</v>
      </c>
    </row>
    <row r="66" spans="1:15" x14ac:dyDescent="0.25">
      <c r="A66" t="s">
        <v>99</v>
      </c>
      <c r="B66" s="3"/>
      <c r="C66" s="3"/>
      <c r="D66" s="3"/>
      <c r="F66" s="27">
        <f>-(F92-E92)</f>
        <v>-11560.036131506848</v>
      </c>
      <c r="G66" s="27">
        <f t="shared" ref="G66:O66" si="42">-(G92-F92)</f>
        <v>154.5738963287672</v>
      </c>
      <c r="H66" s="27">
        <f t="shared" si="42"/>
        <v>182.39719766794542</v>
      </c>
      <c r="I66" s="27">
        <f t="shared" si="42"/>
        <v>215.22869324817384</v>
      </c>
      <c r="J66" s="27">
        <f t="shared" si="42"/>
        <v>253.9698580328477</v>
      </c>
      <c r="K66" s="27">
        <f t="shared" si="42"/>
        <v>299.68443247875985</v>
      </c>
      <c r="L66" s="27">
        <f t="shared" si="42"/>
        <v>353.62763032493513</v>
      </c>
      <c r="M66" s="27">
        <f t="shared" si="42"/>
        <v>417.28060378342343</v>
      </c>
      <c r="N66" s="27">
        <f t="shared" si="42"/>
        <v>492.39111246444008</v>
      </c>
      <c r="O66" s="27">
        <f t="shared" si="42"/>
        <v>581.02151270803733</v>
      </c>
    </row>
    <row r="67" spans="1:15" x14ac:dyDescent="0.25">
      <c r="A67" t="s">
        <v>8</v>
      </c>
      <c r="C67" s="27"/>
      <c r="D67" s="27"/>
      <c r="E67" s="27"/>
      <c r="F67" s="27">
        <f t="shared" ref="F67:O67" si="43">-(F41-E41)</f>
        <v>-648.24299999999994</v>
      </c>
      <c r="G67" s="27">
        <f t="shared" si="43"/>
        <v>-764.92673999999897</v>
      </c>
      <c r="H67" s="27">
        <f t="shared" si="43"/>
        <v>-902.61355319999984</v>
      </c>
      <c r="I67" s="27">
        <f t="shared" si="43"/>
        <v>-1065.0839927759989</v>
      </c>
      <c r="J67" s="27">
        <f t="shared" si="43"/>
        <v>-1256.7991114756787</v>
      </c>
      <c r="K67" s="27">
        <f t="shared" si="43"/>
        <v>-1483.0229515413012</v>
      </c>
      <c r="L67" s="27">
        <f t="shared" si="43"/>
        <v>-1749.9670828187354</v>
      </c>
      <c r="M67" s="27">
        <f t="shared" si="43"/>
        <v>-2064.9611577261076</v>
      </c>
      <c r="N67" s="27">
        <f t="shared" si="43"/>
        <v>-2436.6541661168067</v>
      </c>
      <c r="O67" s="27">
        <f t="shared" si="43"/>
        <v>-2875.2519160178326</v>
      </c>
    </row>
    <row r="68" spans="1:15" x14ac:dyDescent="0.25">
      <c r="A68" t="s">
        <v>10</v>
      </c>
      <c r="C68" s="25"/>
      <c r="D68" s="25"/>
      <c r="E68" s="25"/>
      <c r="F68" s="25">
        <f t="shared" ref="F68:O68" si="44">F51-E51</f>
        <v>216.32940000000008</v>
      </c>
      <c r="G68" s="25">
        <f t="shared" si="44"/>
        <v>255.26869199999987</v>
      </c>
      <c r="H68" s="25">
        <f t="shared" si="44"/>
        <v>301.21705656000017</v>
      </c>
      <c r="I68" s="25">
        <f t="shared" si="44"/>
        <v>355.43612674079964</v>
      </c>
      <c r="J68" s="25">
        <f t="shared" si="44"/>
        <v>419.41462955414363</v>
      </c>
      <c r="K68" s="25">
        <f t="shared" si="44"/>
        <v>494.90926287388947</v>
      </c>
      <c r="L68" s="25">
        <f t="shared" si="44"/>
        <v>583.99293019118977</v>
      </c>
      <c r="M68" s="25">
        <f t="shared" si="44"/>
        <v>689.11165762560404</v>
      </c>
      <c r="N68" s="25">
        <f t="shared" si="44"/>
        <v>813.15175599821214</v>
      </c>
      <c r="O68" s="25">
        <f t="shared" si="44"/>
        <v>959.519072077891</v>
      </c>
    </row>
    <row r="69" spans="1:15" x14ac:dyDescent="0.25">
      <c r="A69" t="s">
        <v>9</v>
      </c>
      <c r="C69" s="27"/>
      <c r="D69" s="27"/>
      <c r="E69" s="27"/>
      <c r="F69" s="27">
        <f t="shared" ref="F69:O69" si="45">-(F46-E46)</f>
        <v>-106.84079999999994</v>
      </c>
      <c r="G69" s="27">
        <f t="shared" si="45"/>
        <v>-126.07214399999998</v>
      </c>
      <c r="H69" s="27">
        <f t="shared" si="45"/>
        <v>-148.76512991999994</v>
      </c>
      <c r="I69" s="27">
        <f t="shared" si="45"/>
        <v>-175.54285330559992</v>
      </c>
      <c r="J69" s="27">
        <f t="shared" si="45"/>
        <v>-207.14056690060761</v>
      </c>
      <c r="K69" s="27">
        <f t="shared" si="45"/>
        <v>-244.42586894271722</v>
      </c>
      <c r="L69" s="27">
        <f t="shared" si="45"/>
        <v>-288.42252535240641</v>
      </c>
      <c r="M69" s="27">
        <f t="shared" si="45"/>
        <v>-340.33857991583955</v>
      </c>
      <c r="N69" s="27">
        <f t="shared" si="45"/>
        <v>-401.59952430069052</v>
      </c>
      <c r="O69" s="27">
        <f t="shared" si="45"/>
        <v>-473.8874386748148</v>
      </c>
    </row>
    <row r="70" spans="1:15" x14ac:dyDescent="0.25">
      <c r="A70" t="s">
        <v>11</v>
      </c>
      <c r="C70" s="25"/>
      <c r="D70" s="1"/>
      <c r="E70" s="25"/>
      <c r="F70" s="25">
        <f t="shared" ref="F70:O70" si="46">F54-E54</f>
        <v>10.13219999999999</v>
      </c>
      <c r="G70" s="25">
        <f t="shared" si="46"/>
        <v>11.955995999999999</v>
      </c>
      <c r="H70" s="25">
        <f t="shared" si="46"/>
        <v>14.108075279999994</v>
      </c>
      <c r="I70" s="25">
        <f t="shared" si="46"/>
        <v>16.647528830399978</v>
      </c>
      <c r="J70" s="25">
        <f t="shared" si="46"/>
        <v>19.644084019871968</v>
      </c>
      <c r="K70" s="25">
        <f t="shared" si="46"/>
        <v>23.180019143448959</v>
      </c>
      <c r="L70" s="25">
        <f t="shared" si="46"/>
        <v>27.352422589269736</v>
      </c>
      <c r="M70" s="25">
        <f t="shared" si="46"/>
        <v>32.275858655338311</v>
      </c>
      <c r="N70" s="25">
        <f t="shared" si="46"/>
        <v>38.08551321329918</v>
      </c>
      <c r="O70" s="25">
        <f t="shared" si="46"/>
        <v>44.940905591693024</v>
      </c>
    </row>
    <row r="71" spans="1:15" s="2" customFormat="1" x14ac:dyDescent="0.25">
      <c r="A71" s="2" t="s">
        <v>100</v>
      </c>
      <c r="B71" s="2">
        <v>-1236.3499999999999</v>
      </c>
      <c r="C71" s="30">
        <v>-1544.06</v>
      </c>
      <c r="D71" s="30">
        <v>2560.48</v>
      </c>
      <c r="F71" s="20">
        <f ca="1">SUM(F64:F70)</f>
        <v>-11162.170263554366</v>
      </c>
      <c r="G71" s="20">
        <f t="shared" ref="G71:O71" ca="1" si="47">SUM(G64:G70)</f>
        <v>985.01185933415093</v>
      </c>
      <c r="H71" s="20">
        <f t="shared" ca="1" si="47"/>
        <v>1763.6523082809301</v>
      </c>
      <c r="I71" s="20">
        <f t="shared" ca="1" si="47"/>
        <v>2449.0990534478469</v>
      </c>
      <c r="J71" s="20">
        <f t="shared" ca="1" si="47"/>
        <v>3497.432331396014</v>
      </c>
      <c r="K71" s="20">
        <f t="shared" ca="1" si="47"/>
        <v>4759.9377610749052</v>
      </c>
      <c r="L71" s="20">
        <f t="shared" ca="1" si="47"/>
        <v>6281.1364148227858</v>
      </c>
      <c r="M71" s="20">
        <f t="shared" ca="1" si="47"/>
        <v>6802.3211379513796</v>
      </c>
      <c r="N71" s="20">
        <f t="shared" ca="1" si="47"/>
        <v>10160.904300693028</v>
      </c>
      <c r="O71" s="20">
        <f t="shared" ca="1" si="47"/>
        <v>12690.756994216472</v>
      </c>
    </row>
    <row r="73" spans="1:15" x14ac:dyDescent="0.25">
      <c r="A73" t="s">
        <v>101</v>
      </c>
      <c r="B73" s="1">
        <v>-110.7</v>
      </c>
      <c r="C73" s="1">
        <v>-530.99</v>
      </c>
      <c r="D73" s="1">
        <v>-984.18</v>
      </c>
      <c r="F73" s="27">
        <f>-F107</f>
        <v>-380.07975819999996</v>
      </c>
      <c r="G73" s="27">
        <f t="shared" ref="G73:O73" si="48">-G107</f>
        <v>-566.51888169599988</v>
      </c>
      <c r="H73" s="27">
        <f t="shared" si="48"/>
        <v>-997.16765159857584</v>
      </c>
      <c r="I73" s="27">
        <f t="shared" si="48"/>
        <v>-1557.9212594751825</v>
      </c>
      <c r="J73" s="27">
        <f t="shared" si="48"/>
        <v>-2288.2379342755735</v>
      </c>
      <c r="K73" s="27">
        <f t="shared" si="48"/>
        <v>-3295.0626253568257</v>
      </c>
      <c r="L73" s="27">
        <f t="shared" si="48"/>
        <v>-4482.2004656589934</v>
      </c>
      <c r="M73" s="27">
        <f t="shared" si="48"/>
        <v>-6053.6707494020857</v>
      </c>
      <c r="N73" s="27">
        <f t="shared" si="48"/>
        <v>-8045.6470402053401</v>
      </c>
      <c r="O73" s="27">
        <f t="shared" si="48"/>
        <v>-10558.595863417137</v>
      </c>
    </row>
    <row r="74" spans="1:15" s="2" customFormat="1" x14ac:dyDescent="0.25">
      <c r="A74" s="2" t="s">
        <v>102</v>
      </c>
      <c r="B74" s="30">
        <v>3581.38</v>
      </c>
      <c r="C74" s="30">
        <v>5591.97</v>
      </c>
      <c r="D74" s="30">
        <v>-102.94</v>
      </c>
      <c r="F74" s="30">
        <f>F73</f>
        <v>-380.07975819999996</v>
      </c>
      <c r="G74" s="30">
        <f t="shared" ref="G74:O74" si="49">G73</f>
        <v>-566.51888169599988</v>
      </c>
      <c r="H74" s="30">
        <f t="shared" si="49"/>
        <v>-997.16765159857584</v>
      </c>
      <c r="I74" s="30">
        <f t="shared" si="49"/>
        <v>-1557.9212594751825</v>
      </c>
      <c r="J74" s="30">
        <f t="shared" si="49"/>
        <v>-2288.2379342755735</v>
      </c>
      <c r="K74" s="30">
        <f t="shared" si="49"/>
        <v>-3295.0626253568257</v>
      </c>
      <c r="L74" s="30">
        <f t="shared" si="49"/>
        <v>-4482.2004656589934</v>
      </c>
      <c r="M74" s="30">
        <f t="shared" si="49"/>
        <v>-6053.6707494020857</v>
      </c>
      <c r="N74" s="30">
        <f t="shared" si="49"/>
        <v>-8045.6470402053401</v>
      </c>
      <c r="O74" s="30">
        <f t="shared" si="49"/>
        <v>-10558.595863417137</v>
      </c>
    </row>
    <row r="76" spans="1:15" x14ac:dyDescent="0.25">
      <c r="A76" s="2" t="s">
        <v>103</v>
      </c>
      <c r="F76" s="27">
        <f ca="1">F166</f>
        <v>0</v>
      </c>
      <c r="G76" s="27">
        <f t="shared" ref="G76:O76" ca="1" si="50">G166</f>
        <v>0</v>
      </c>
      <c r="H76" s="27">
        <f t="shared" ca="1" si="50"/>
        <v>0</v>
      </c>
      <c r="I76" s="27">
        <f t="shared" ca="1" si="50"/>
        <v>1270.8103609383975</v>
      </c>
      <c r="J76" s="27">
        <f t="shared" ca="1" si="50"/>
        <v>1166.3020447488602</v>
      </c>
      <c r="K76" s="27">
        <f t="shared" ca="1" si="50"/>
        <v>910.62130615122123</v>
      </c>
      <c r="L76" s="27">
        <f t="shared" ca="1" si="50"/>
        <v>576.5604927055083</v>
      </c>
      <c r="M76" s="27">
        <f t="shared" ca="1" si="50"/>
        <v>31842.656286349389</v>
      </c>
      <c r="N76" s="27">
        <f t="shared" ca="1" si="50"/>
        <v>2069.1891813816774</v>
      </c>
      <c r="O76" s="27">
        <f t="shared" ca="1" si="50"/>
        <v>4099.8497297181802</v>
      </c>
    </row>
    <row r="77" spans="1:15" x14ac:dyDescent="0.25">
      <c r="A77" t="s">
        <v>104</v>
      </c>
    </row>
    <row r="78" spans="1:15" x14ac:dyDescent="0.25">
      <c r="A78" t="s">
        <v>105</v>
      </c>
      <c r="F78" s="27">
        <f ca="1">F141+F146+F151</f>
        <v>-2375.4964418693007</v>
      </c>
      <c r="G78" s="27">
        <f t="shared" ref="G78:O78" ca="1" si="51">G141+G146+G151</f>
        <v>-2375.4964418693007</v>
      </c>
      <c r="H78" s="27">
        <f t="shared" ca="1" si="51"/>
        <v>-2375.4964418693007</v>
      </c>
      <c r="I78" s="27">
        <f t="shared" ca="1" si="51"/>
        <v>-2375.4964418693007</v>
      </c>
      <c r="J78" s="27">
        <f t="shared" ca="1" si="51"/>
        <v>-2375.4964418693007</v>
      </c>
      <c r="K78" s="27">
        <f t="shared" ca="1" si="51"/>
        <v>-2375.4964418693007</v>
      </c>
      <c r="L78" s="27">
        <f t="shared" ca="1" si="51"/>
        <v>-2375.4964418693007</v>
      </c>
      <c r="M78" s="27">
        <f t="shared" ca="1" si="51"/>
        <v>-32591.306674898682</v>
      </c>
      <c r="N78" s="27">
        <f t="shared" ca="1" si="51"/>
        <v>-4184.4464418693005</v>
      </c>
      <c r="O78" s="27">
        <f t="shared" ca="1" si="51"/>
        <v>-6232.0108605623082</v>
      </c>
    </row>
    <row r="79" spans="1:15" x14ac:dyDescent="0.25">
      <c r="A79" t="s">
        <v>106</v>
      </c>
    </row>
    <row r="80" spans="1:15" x14ac:dyDescent="0.25">
      <c r="A80" t="s">
        <v>107</v>
      </c>
    </row>
    <row r="81" spans="1:15" x14ac:dyDescent="0.25">
      <c r="A81" t="s">
        <v>108</v>
      </c>
    </row>
    <row r="82" spans="1:15" s="2" customFormat="1" x14ac:dyDescent="0.25">
      <c r="A82" s="2" t="s">
        <v>109</v>
      </c>
      <c r="F82" s="20">
        <f ca="1">SUM(F76:F81)</f>
        <v>-2375.4964418693007</v>
      </c>
      <c r="G82" s="20">
        <f t="shared" ref="G82:O82" ca="1" si="52">SUM(G76:G81)</f>
        <v>-2375.4964418693007</v>
      </c>
      <c r="H82" s="20">
        <f t="shared" ca="1" si="52"/>
        <v>-2375.4964418693007</v>
      </c>
      <c r="I82" s="20">
        <f t="shared" ca="1" si="52"/>
        <v>-1104.6860809309032</v>
      </c>
      <c r="J82" s="20">
        <f t="shared" ca="1" si="52"/>
        <v>-1209.1943971204405</v>
      </c>
      <c r="K82" s="20">
        <f t="shared" ca="1" si="52"/>
        <v>-1464.8751357180795</v>
      </c>
      <c r="L82" s="20">
        <f t="shared" ca="1" si="52"/>
        <v>-1798.9359491637924</v>
      </c>
      <c r="M82" s="20">
        <f t="shared" ca="1" si="52"/>
        <v>-748.65038854929298</v>
      </c>
      <c r="N82" s="20">
        <f t="shared" ca="1" si="52"/>
        <v>-2115.2572604876232</v>
      </c>
      <c r="O82" s="20">
        <f t="shared" ca="1" si="52"/>
        <v>-2132.1611308441279</v>
      </c>
    </row>
    <row r="84" spans="1:15" s="2" customFormat="1" x14ac:dyDescent="0.25">
      <c r="A84" s="2" t="s">
        <v>110</v>
      </c>
      <c r="F84" s="30">
        <f ca="1">F71+F74+F82</f>
        <v>-13917.746463623665</v>
      </c>
      <c r="G84" s="30">
        <f t="shared" ref="G84:O84" ca="1" si="53">G71+G74+G82</f>
        <v>-1957.0034642311498</v>
      </c>
      <c r="H84" s="30">
        <f t="shared" ca="1" si="53"/>
        <v>-1609.0117851869463</v>
      </c>
      <c r="I84" s="20">
        <f t="shared" ca="1" si="53"/>
        <v>-213.50828695823884</v>
      </c>
      <c r="J84" s="30">
        <f t="shared" ca="1" si="53"/>
        <v>0</v>
      </c>
      <c r="K84" s="30">
        <f t="shared" ca="1" si="53"/>
        <v>0</v>
      </c>
      <c r="L84" s="30">
        <f t="shared" ca="1" si="53"/>
        <v>0</v>
      </c>
      <c r="M84" s="30">
        <f t="shared" ca="1" si="53"/>
        <v>9.0949470177292824E-13</v>
      </c>
      <c r="N84" s="30">
        <f t="shared" ca="1" si="53"/>
        <v>6.4574123825877905E-11</v>
      </c>
      <c r="O84" s="30">
        <f t="shared" ca="1" si="53"/>
        <v>-4.4792614062316716E-8</v>
      </c>
    </row>
    <row r="87" spans="1:15" ht="15.75" x14ac:dyDescent="0.25">
      <c r="A87" s="8" t="s">
        <v>111</v>
      </c>
      <c r="B87" s="4"/>
      <c r="C87" s="4"/>
      <c r="D87" s="4"/>
      <c r="E87" s="4"/>
      <c r="F87" s="4"/>
      <c r="G87" s="4"/>
    </row>
    <row r="88" spans="1:15" x14ac:dyDescent="0.25">
      <c r="A88" t="s">
        <v>14</v>
      </c>
      <c r="B88" s="37" t="s">
        <v>190</v>
      </c>
      <c r="C88" s="37" t="s">
        <v>173</v>
      </c>
      <c r="D88" s="37" t="s">
        <v>174</v>
      </c>
      <c r="E88" s="37"/>
      <c r="F88" s="38" t="s">
        <v>189</v>
      </c>
      <c r="G88" s="38" t="s">
        <v>175</v>
      </c>
      <c r="H88" s="38" t="s">
        <v>176</v>
      </c>
      <c r="I88" s="38" t="s">
        <v>177</v>
      </c>
      <c r="J88" s="38" t="s">
        <v>178</v>
      </c>
      <c r="K88" s="38" t="s">
        <v>179</v>
      </c>
      <c r="L88" s="38" t="s">
        <v>180</v>
      </c>
      <c r="M88" s="38" t="s">
        <v>181</v>
      </c>
      <c r="N88" s="38" t="s">
        <v>182</v>
      </c>
      <c r="O88" s="38" t="s">
        <v>183</v>
      </c>
    </row>
    <row r="89" spans="1:15" x14ac:dyDescent="0.25">
      <c r="A89" t="s">
        <v>46</v>
      </c>
      <c r="B89" s="1">
        <f t="shared" ref="B89:E90" si="54">B39</f>
        <v>963.5</v>
      </c>
      <c r="C89" s="1">
        <f t="shared" si="54"/>
        <v>671.25</v>
      </c>
      <c r="D89" s="1">
        <f t="shared" si="54"/>
        <v>480.33</v>
      </c>
      <c r="E89" s="1">
        <f t="shared" si="54"/>
        <v>480.33</v>
      </c>
      <c r="F89" s="1">
        <f>F95*F19/'LBO VALUATION DRIVERS'!$B$21</f>
        <v>566.78939999999989</v>
      </c>
      <c r="G89" s="1">
        <f>G95*G19/'LBO VALUATION DRIVERS'!$B$21</f>
        <v>668.81149199999982</v>
      </c>
      <c r="H89" s="1">
        <f>H95*H19/'LBO VALUATION DRIVERS'!$B$21</f>
        <v>789.19756055999983</v>
      </c>
      <c r="I89" s="1">
        <f>I95*I19/'LBO VALUATION DRIVERS'!$B$21</f>
        <v>931.25312146079955</v>
      </c>
      <c r="J89" s="1">
        <f>J95*J19/'LBO VALUATION DRIVERS'!$B$21</f>
        <v>1098.8786833237434</v>
      </c>
      <c r="K89" s="1">
        <f>K95*K19/'LBO VALUATION DRIVERS'!$B$21</f>
        <v>1296.6768463220171</v>
      </c>
      <c r="L89" s="1">
        <f>L95*L19/'LBO VALUATION DRIVERS'!$B$21</f>
        <v>1530.0786786599801</v>
      </c>
      <c r="M89" s="1">
        <f>M95*M19/'LBO VALUATION DRIVERS'!$B$21</f>
        <v>1805.4928408187764</v>
      </c>
      <c r="N89" s="1">
        <f>N95*N19/'LBO VALUATION DRIVERS'!$B$21</f>
        <v>2130.4815521661562</v>
      </c>
      <c r="O89" s="1">
        <f>O95*O19/'LBO VALUATION DRIVERS'!$B$21</f>
        <v>2513.968231556064</v>
      </c>
    </row>
    <row r="90" spans="1:15" x14ac:dyDescent="0.25">
      <c r="A90" t="s">
        <v>48</v>
      </c>
      <c r="B90" s="1">
        <f t="shared" si="54"/>
        <v>1278.6099999999999</v>
      </c>
      <c r="C90" s="1">
        <f t="shared" si="54"/>
        <v>3086.56</v>
      </c>
      <c r="D90" s="1">
        <f t="shared" si="54"/>
        <v>2296.71</v>
      </c>
      <c r="E90" s="1">
        <f t="shared" si="54"/>
        <v>2296.71</v>
      </c>
      <c r="F90" s="27">
        <f>-F96*F21/'LBO VALUATION DRIVERS'!$B$21</f>
        <v>2710.1178</v>
      </c>
      <c r="G90" s="27">
        <f>-G96*G21/'LBO VALUATION DRIVERS'!$B$21</f>
        <v>3197.9390040000003</v>
      </c>
      <c r="H90" s="27">
        <f>-H96*H21/'LBO VALUATION DRIVERS'!$B$21</f>
        <v>3773.5680247199998</v>
      </c>
      <c r="I90" s="27">
        <f>-I96*I21/'LBO VALUATION DRIVERS'!$B$21</f>
        <v>4452.8102691695995</v>
      </c>
      <c r="J90" s="27">
        <f>-J96*J21/'LBO VALUATION DRIVERS'!$B$21</f>
        <v>5254.3161176201265</v>
      </c>
      <c r="K90" s="27">
        <f>-K96*K21/'LBO VALUATION DRIVERS'!$B$21</f>
        <v>6200.0930187917493</v>
      </c>
      <c r="L90" s="27">
        <f>-L96*L21/'LBO VALUATION DRIVERS'!$B$21</f>
        <v>7316.1097621742638</v>
      </c>
      <c r="M90" s="27">
        <f>-M96*M21/'LBO VALUATION DRIVERS'!$B$21</f>
        <v>8633.0095193656307</v>
      </c>
      <c r="N90" s="27">
        <f>-N96*N21/'LBO VALUATION DRIVERS'!$B$21</f>
        <v>10186.951232851443</v>
      </c>
      <c r="O90" s="27">
        <f>-O96*O21/'LBO VALUATION DRIVERS'!$B$21</f>
        <v>12020.602454764703</v>
      </c>
    </row>
    <row r="91" spans="1:15" x14ac:dyDescent="0.25">
      <c r="A91" t="s">
        <v>86</v>
      </c>
      <c r="B91" s="1">
        <f>-B50</f>
        <v>-7802.47</v>
      </c>
      <c r="C91" s="1">
        <f>-C50</f>
        <v>-7386.62</v>
      </c>
      <c r="D91" s="1">
        <f>-D50</f>
        <v>-15195.82</v>
      </c>
      <c r="E91" s="1">
        <f>-E50</f>
        <v>-15195.82</v>
      </c>
      <c r="F91" s="27">
        <f>-F97*F21/'LBO VALUATION DRIVERS'!$B$21</f>
        <v>-4135.65106849315</v>
      </c>
      <c r="G91" s="27">
        <f>-G97*G21/'LBO VALUATION DRIVERS'!$B$21</f>
        <v>-4880.0682608219176</v>
      </c>
      <c r="H91" s="27">
        <f>-H97*H21/'LBO VALUATION DRIVERS'!$B$21</f>
        <v>-5758.4805477698628</v>
      </c>
      <c r="I91" s="27">
        <f>-I97*I21/'LBO VALUATION DRIVERS'!$B$21</f>
        <v>-6795.007046368436</v>
      </c>
      <c r="J91" s="27">
        <f>-J97*J21/'LBO VALUATION DRIVERS'!$B$21</f>
        <v>-8018.1083147147547</v>
      </c>
      <c r="K91" s="27">
        <f>-K97*K21/'LBO VALUATION DRIVERS'!$B$21</f>
        <v>-9461.3678113634105</v>
      </c>
      <c r="L91" s="27">
        <f>-L97*L21/'LBO VALUATION DRIVERS'!$B$21</f>
        <v>-11164.414017408824</v>
      </c>
      <c r="M91" s="27">
        <f>-M97*M21/'LBO VALUATION DRIVERS'!$B$21</f>
        <v>-13174.008540542411</v>
      </c>
      <c r="N91" s="27">
        <f>-N97*N21/'LBO VALUATION DRIVERS'!$B$21</f>
        <v>-15545.330077840043</v>
      </c>
      <c r="O91" s="27">
        <f>-O97*O21/'LBO VALUATION DRIVERS'!$B$21</f>
        <v>-18343.489491851247</v>
      </c>
    </row>
    <row r="92" spans="1:15" s="2" customFormat="1" x14ac:dyDescent="0.25">
      <c r="A92" s="2" t="s">
        <v>112</v>
      </c>
      <c r="B92" s="30">
        <f>SUM(B89:B91)</f>
        <v>-5560.3600000000006</v>
      </c>
      <c r="C92" s="30">
        <f t="shared" ref="C92:D92" si="55">SUM(C89:C91)</f>
        <v>-3628.81</v>
      </c>
      <c r="D92" s="30">
        <f t="shared" si="55"/>
        <v>-12418.779999999999</v>
      </c>
      <c r="E92" s="30">
        <f t="shared" ref="E92" si="56">SUM(E89:E91)</f>
        <v>-12418.779999999999</v>
      </c>
      <c r="F92" s="30">
        <f t="shared" ref="F92" si="57">SUM(F89:F91)</f>
        <v>-858.74386849315033</v>
      </c>
      <c r="G92" s="30">
        <f t="shared" ref="G92" si="58">SUM(G89:G91)</f>
        <v>-1013.3177648219175</v>
      </c>
      <c r="H92" s="30">
        <f t="shared" ref="H92" si="59">SUM(H89:H91)</f>
        <v>-1195.714962489863</v>
      </c>
      <c r="I92" s="30">
        <f t="shared" ref="I92" si="60">SUM(I89:I91)</f>
        <v>-1410.9436557380368</v>
      </c>
      <c r="J92" s="30">
        <f t="shared" ref="J92" si="61">SUM(J89:J91)</f>
        <v>-1664.9135137708845</v>
      </c>
      <c r="K92" s="30">
        <f t="shared" ref="K92" si="62">SUM(K89:K91)</f>
        <v>-1964.5979462496443</v>
      </c>
      <c r="L92" s="30">
        <f t="shared" ref="L92" si="63">SUM(L89:L91)</f>
        <v>-2318.2255765745795</v>
      </c>
      <c r="M92" s="30">
        <f t="shared" ref="M92" si="64">SUM(M89:M91)</f>
        <v>-2735.5061803580029</v>
      </c>
      <c r="N92" s="30">
        <f t="shared" ref="N92" si="65">SUM(N89:N91)</f>
        <v>-3227.897292822443</v>
      </c>
      <c r="O92" s="30">
        <f t="shared" ref="O92" si="66">SUM(O89:O91)</f>
        <v>-3808.9188055304803</v>
      </c>
    </row>
    <row r="95" spans="1:15" x14ac:dyDescent="0.25">
      <c r="A95" t="s">
        <v>5</v>
      </c>
      <c r="B95" s="27">
        <f t="shared" ref="B95:D96" si="67">B7</f>
        <v>14.911350863171018</v>
      </c>
      <c r="C95" s="27">
        <f t="shared" si="67"/>
        <v>10.868685233160621</v>
      </c>
      <c r="D95" s="27">
        <f t="shared" si="67"/>
        <v>5.1708679615235553</v>
      </c>
      <c r="E95" s="27"/>
      <c r="F95" s="27">
        <f t="shared" ref="F95:O95" si="68">F7</f>
        <v>5.1708679615235553</v>
      </c>
      <c r="G95" s="27">
        <f t="shared" si="68"/>
        <v>5.1708679615235553</v>
      </c>
      <c r="H95" s="27">
        <f t="shared" si="68"/>
        <v>5.1708679615235553</v>
      </c>
      <c r="I95" s="27">
        <f t="shared" si="68"/>
        <v>5.1708679615235553</v>
      </c>
      <c r="J95" s="27">
        <f t="shared" si="68"/>
        <v>5.1708679615235553</v>
      </c>
      <c r="K95" s="27">
        <f t="shared" si="68"/>
        <v>5.1708679615235553</v>
      </c>
      <c r="L95" s="27">
        <f t="shared" si="68"/>
        <v>5.1708679615235553</v>
      </c>
      <c r="M95" s="27">
        <f t="shared" si="68"/>
        <v>5.1708679615235553</v>
      </c>
      <c r="N95" s="27">
        <f t="shared" si="68"/>
        <v>5.1708679615235553</v>
      </c>
      <c r="O95" s="27">
        <f t="shared" si="68"/>
        <v>5.1708679615235553</v>
      </c>
    </row>
    <row r="96" spans="1:15" x14ac:dyDescent="0.25">
      <c r="A96" t="s">
        <v>6</v>
      </c>
      <c r="B96" s="27">
        <f t="shared" si="67"/>
        <v>22.459119860055388</v>
      </c>
      <c r="C96" s="27">
        <f t="shared" si="67"/>
        <v>66.815354204388612</v>
      </c>
      <c r="D96" s="27">
        <f t="shared" si="67"/>
        <v>32.765310166597878</v>
      </c>
      <c r="E96" s="27"/>
      <c r="F96" s="27">
        <f t="shared" ref="F96:O96" si="69">F8</f>
        <v>32.765310166597878</v>
      </c>
      <c r="G96" s="27">
        <f t="shared" si="69"/>
        <v>32.765310166597878</v>
      </c>
      <c r="H96" s="27">
        <f t="shared" si="69"/>
        <v>32.765310166597878</v>
      </c>
      <c r="I96" s="27">
        <f t="shared" si="69"/>
        <v>32.765310166597878</v>
      </c>
      <c r="J96" s="27">
        <f t="shared" si="69"/>
        <v>32.765310166597878</v>
      </c>
      <c r="K96" s="27">
        <f t="shared" si="69"/>
        <v>32.765310166597878</v>
      </c>
      <c r="L96" s="27">
        <f t="shared" si="69"/>
        <v>32.765310166597878</v>
      </c>
      <c r="M96" s="27">
        <f t="shared" si="69"/>
        <v>32.765310166597878</v>
      </c>
      <c r="N96" s="27">
        <f t="shared" si="69"/>
        <v>32.765310166597878</v>
      </c>
      <c r="O96" s="27">
        <f t="shared" si="69"/>
        <v>32.765310166597878</v>
      </c>
    </row>
    <row r="97" spans="1:15" x14ac:dyDescent="0.25">
      <c r="A97" t="s">
        <v>7</v>
      </c>
      <c r="B97" s="27">
        <f t="shared" ref="B97:O97" si="70">-B9</f>
        <v>-137.05243110446997</v>
      </c>
      <c r="C97" s="27">
        <f t="shared" si="70"/>
        <v>-159.89957482544355</v>
      </c>
      <c r="D97" s="27">
        <f t="shared" si="70"/>
        <v>-216.78651442097231</v>
      </c>
      <c r="E97" s="27">
        <f t="shared" si="70"/>
        <v>0</v>
      </c>
      <c r="F97" s="27">
        <f t="shared" si="70"/>
        <v>-50</v>
      </c>
      <c r="G97" s="27">
        <f t="shared" si="70"/>
        <v>-50</v>
      </c>
      <c r="H97" s="27">
        <f t="shared" si="70"/>
        <v>-50</v>
      </c>
      <c r="I97" s="27">
        <f t="shared" si="70"/>
        <v>-50</v>
      </c>
      <c r="J97" s="27">
        <f t="shared" si="70"/>
        <v>-50</v>
      </c>
      <c r="K97" s="27">
        <f t="shared" si="70"/>
        <v>-50</v>
      </c>
      <c r="L97" s="27">
        <f t="shared" si="70"/>
        <v>-50</v>
      </c>
      <c r="M97" s="27">
        <f t="shared" si="70"/>
        <v>-50</v>
      </c>
      <c r="N97" s="27">
        <f t="shared" si="70"/>
        <v>-50</v>
      </c>
      <c r="O97" s="27">
        <f t="shared" si="70"/>
        <v>-50</v>
      </c>
    </row>
    <row r="98" spans="1:15" s="2" customFormat="1" x14ac:dyDescent="0.25">
      <c r="A98" s="2" t="s">
        <v>113</v>
      </c>
      <c r="B98" s="30">
        <f>SUM(B95:B97)</f>
        <v>-99.68196038124357</v>
      </c>
      <c r="C98" s="30">
        <f t="shared" ref="C98:O98" si="71">SUM(C95:C97)</f>
        <v>-82.21553538789432</v>
      </c>
      <c r="D98" s="30">
        <f t="shared" si="71"/>
        <v>-178.85033629285087</v>
      </c>
      <c r="E98" s="30">
        <f t="shared" si="71"/>
        <v>0</v>
      </c>
      <c r="F98" s="30">
        <f t="shared" si="71"/>
        <v>-12.063821871878567</v>
      </c>
      <c r="G98" s="30">
        <f t="shared" si="71"/>
        <v>-12.063821871878567</v>
      </c>
      <c r="H98" s="30">
        <f t="shared" si="71"/>
        <v>-12.063821871878567</v>
      </c>
      <c r="I98" s="30">
        <f t="shared" si="71"/>
        <v>-12.063821871878567</v>
      </c>
      <c r="J98" s="30">
        <f t="shared" si="71"/>
        <v>-12.063821871878567</v>
      </c>
      <c r="K98" s="30">
        <f t="shared" si="71"/>
        <v>-12.063821871878567</v>
      </c>
      <c r="L98" s="30">
        <f t="shared" si="71"/>
        <v>-12.063821871878567</v>
      </c>
      <c r="M98" s="30">
        <f t="shared" si="71"/>
        <v>-12.063821871878567</v>
      </c>
      <c r="N98" s="30">
        <f t="shared" si="71"/>
        <v>-12.063821871878567</v>
      </c>
      <c r="O98" s="30">
        <f t="shared" si="71"/>
        <v>-12.063821871878567</v>
      </c>
    </row>
    <row r="101" spans="1:15" ht="15.75" x14ac:dyDescent="0.25">
      <c r="A101" s="8" t="s">
        <v>114</v>
      </c>
      <c r="B101" s="4"/>
      <c r="C101" s="4"/>
      <c r="D101" s="4"/>
      <c r="E101" s="4"/>
      <c r="F101" s="4">
        <v>1</v>
      </c>
      <c r="G101" s="4">
        <v>2</v>
      </c>
      <c r="H101">
        <v>3</v>
      </c>
      <c r="I101">
        <v>4</v>
      </c>
      <c r="J101">
        <v>5</v>
      </c>
      <c r="K101">
        <v>6</v>
      </c>
      <c r="L101">
        <v>7</v>
      </c>
      <c r="M101">
        <v>8</v>
      </c>
      <c r="N101">
        <v>9</v>
      </c>
      <c r="O101">
        <v>10</v>
      </c>
    </row>
    <row r="102" spans="1:15" x14ac:dyDescent="0.25">
      <c r="E102" s="27">
        <f ca="1">E43</f>
        <v>2908.5455825734552</v>
      </c>
      <c r="F102" s="27">
        <f ca="1">-E102/10</f>
        <v>-290.8545582573455</v>
      </c>
      <c r="G102" s="27">
        <f ca="1">$F102</f>
        <v>-290.8545582573455</v>
      </c>
      <c r="H102" s="27">
        <f t="shared" ref="H102:O102" ca="1" si="72">$F102</f>
        <v>-290.8545582573455</v>
      </c>
      <c r="I102" s="27">
        <f t="shared" ca="1" si="72"/>
        <v>-290.8545582573455</v>
      </c>
      <c r="J102" s="27">
        <f t="shared" ca="1" si="72"/>
        <v>-290.8545582573455</v>
      </c>
      <c r="K102" s="27">
        <f t="shared" ca="1" si="72"/>
        <v>-290.8545582573455</v>
      </c>
      <c r="L102" s="27">
        <f t="shared" ca="1" si="72"/>
        <v>-290.8545582573455</v>
      </c>
      <c r="M102" s="27">
        <f t="shared" ca="1" si="72"/>
        <v>-290.8545582573455</v>
      </c>
      <c r="N102" s="27">
        <f t="shared" ca="1" si="72"/>
        <v>-290.8545582573455</v>
      </c>
      <c r="O102" s="27">
        <f t="shared" ca="1" si="72"/>
        <v>-290.8545582573455</v>
      </c>
    </row>
    <row r="104" spans="1:15" ht="15.75" x14ac:dyDescent="0.25">
      <c r="A104" s="8" t="s">
        <v>115</v>
      </c>
      <c r="B104" s="4"/>
      <c r="C104" s="4"/>
      <c r="D104" s="4"/>
      <c r="E104" s="4"/>
      <c r="F104" s="4"/>
      <c r="G104" s="4"/>
    </row>
    <row r="105" spans="1:15" x14ac:dyDescent="0.25">
      <c r="A105" t="s">
        <v>14</v>
      </c>
      <c r="B105" s="37" t="s">
        <v>190</v>
      </c>
      <c r="C105" s="37" t="s">
        <v>173</v>
      </c>
      <c r="D105" s="37" t="s">
        <v>174</v>
      </c>
      <c r="E105" s="37"/>
      <c r="F105" s="38" t="s">
        <v>189</v>
      </c>
      <c r="G105" s="38" t="s">
        <v>175</v>
      </c>
      <c r="H105" s="38" t="s">
        <v>176</v>
      </c>
      <c r="I105" s="38" t="s">
        <v>177</v>
      </c>
      <c r="J105" s="38" t="s">
        <v>178</v>
      </c>
      <c r="K105" s="38" t="s">
        <v>179</v>
      </c>
      <c r="L105" s="38" t="s">
        <v>180</v>
      </c>
      <c r="M105" s="38" t="s">
        <v>181</v>
      </c>
      <c r="N105" s="38" t="s">
        <v>182</v>
      </c>
      <c r="O105" s="38" t="s">
        <v>183</v>
      </c>
    </row>
    <row r="106" spans="1:15" x14ac:dyDescent="0.25">
      <c r="A106" t="s">
        <v>116</v>
      </c>
      <c r="B106" s="1"/>
      <c r="C106" s="1"/>
      <c r="D106" s="1">
        <v>1337.99</v>
      </c>
      <c r="E106" s="27">
        <f>D106</f>
        <v>1337.99</v>
      </c>
      <c r="F106" s="27">
        <f>E109</f>
        <v>1337.99</v>
      </c>
      <c r="G106" s="27">
        <f t="shared" ref="G106:O106" si="73">F109</f>
        <v>1480.2808782</v>
      </c>
      <c r="H106" s="27">
        <f t="shared" si="73"/>
        <v>1485.6180030959999</v>
      </c>
      <c r="I106" s="27">
        <f t="shared" si="73"/>
        <v>1489.493945158576</v>
      </c>
      <c r="J106" s="27">
        <f t="shared" si="73"/>
        <v>1484.6362482971188</v>
      </c>
      <c r="K106" s="27">
        <f t="shared" si="73"/>
        <v>1467.7752219761487</v>
      </c>
      <c r="L106" s="27">
        <f t="shared" si="73"/>
        <v>1498.8177191282689</v>
      </c>
      <c r="M106" s="27">
        <f t="shared" si="73"/>
        <v>1487.5504749587853</v>
      </c>
      <c r="N106" s="27">
        <f t="shared" si="73"/>
        <v>1481.4590556778967</v>
      </c>
      <c r="O106" s="27">
        <f t="shared" si="73"/>
        <v>1482.7718169565887</v>
      </c>
    </row>
    <row r="107" spans="1:15" x14ac:dyDescent="0.25">
      <c r="A107" t="s">
        <v>101</v>
      </c>
      <c r="B107" s="1"/>
      <c r="C107" s="1"/>
      <c r="D107" s="1"/>
      <c r="F107" s="1">
        <f t="shared" ref="F107:O107" si="74">F14*F19</f>
        <v>380.07975819999996</v>
      </c>
      <c r="G107" s="1">
        <f t="shared" si="74"/>
        <v>566.51888169599988</v>
      </c>
      <c r="H107" s="1">
        <f t="shared" si="74"/>
        <v>997.16765159857584</v>
      </c>
      <c r="I107" s="1">
        <f t="shared" si="74"/>
        <v>1557.9212594751825</v>
      </c>
      <c r="J107" s="1">
        <f t="shared" si="74"/>
        <v>2288.2379342755735</v>
      </c>
      <c r="K107" s="1">
        <f t="shared" si="74"/>
        <v>3295.0626253568257</v>
      </c>
      <c r="L107" s="1">
        <f t="shared" si="74"/>
        <v>4482.2004656589934</v>
      </c>
      <c r="M107" s="1">
        <f t="shared" si="74"/>
        <v>6053.6707494020857</v>
      </c>
      <c r="N107" s="1">
        <f t="shared" si="74"/>
        <v>8045.6470402053401</v>
      </c>
      <c r="O107" s="1">
        <f t="shared" si="74"/>
        <v>10558.595863417137</v>
      </c>
    </row>
    <row r="108" spans="1:15" x14ac:dyDescent="0.25">
      <c r="A108" t="s">
        <v>117</v>
      </c>
      <c r="B108" s="1"/>
      <c r="C108" s="1"/>
      <c r="D108" s="28"/>
      <c r="F108" s="1">
        <f>F117</f>
        <v>-237.78888000000001</v>
      </c>
      <c r="G108" s="1">
        <f t="shared" ref="G108:O108" si="75">G117</f>
        <v>-561.18175680000002</v>
      </c>
      <c r="H108" s="1">
        <f t="shared" si="75"/>
        <v>-993.29170953599998</v>
      </c>
      <c r="I108" s="1">
        <f t="shared" si="75"/>
        <v>-1562.7789563366398</v>
      </c>
      <c r="J108" s="1">
        <f t="shared" si="75"/>
        <v>-2305.0989605965433</v>
      </c>
      <c r="K108" s="1">
        <f t="shared" si="75"/>
        <v>-3264.0201282047051</v>
      </c>
      <c r="L108" s="1">
        <f t="shared" si="75"/>
        <v>-4493.4677098284774</v>
      </c>
      <c r="M108" s="1">
        <f t="shared" si="75"/>
        <v>-6059.7621686829743</v>
      </c>
      <c r="N108" s="1">
        <f t="shared" si="75"/>
        <v>-8044.334278926648</v>
      </c>
      <c r="O108" s="1">
        <f t="shared" si="75"/>
        <v>-10547.016054592716</v>
      </c>
    </row>
    <row r="109" spans="1:15" s="2" customFormat="1" x14ac:dyDescent="0.25">
      <c r="A109" s="2" t="s">
        <v>118</v>
      </c>
      <c r="B109" s="30"/>
      <c r="C109" s="30"/>
      <c r="E109" s="30">
        <f>SUM(E106:E108)</f>
        <v>1337.99</v>
      </c>
      <c r="F109" s="30">
        <f t="shared" ref="F109:O109" si="76">SUM(F106:F108)</f>
        <v>1480.2808782</v>
      </c>
      <c r="G109" s="30">
        <f t="shared" si="76"/>
        <v>1485.6180030959999</v>
      </c>
      <c r="H109" s="30">
        <f t="shared" si="76"/>
        <v>1489.493945158576</v>
      </c>
      <c r="I109" s="30">
        <f t="shared" si="76"/>
        <v>1484.6362482971188</v>
      </c>
      <c r="J109" s="30">
        <f t="shared" si="76"/>
        <v>1467.7752219761487</v>
      </c>
      <c r="K109" s="30">
        <f t="shared" si="76"/>
        <v>1498.8177191282689</v>
      </c>
      <c r="L109" s="30">
        <f t="shared" si="76"/>
        <v>1487.5504749587853</v>
      </c>
      <c r="M109" s="30">
        <f t="shared" si="76"/>
        <v>1481.4590556778967</v>
      </c>
      <c r="N109" s="30">
        <f t="shared" si="76"/>
        <v>1482.7718169565887</v>
      </c>
      <c r="O109" s="30">
        <f t="shared" si="76"/>
        <v>1494.3516257810097</v>
      </c>
    </row>
    <row r="111" spans="1:15" x14ac:dyDescent="0.25">
      <c r="A111" s="2" t="s">
        <v>119</v>
      </c>
      <c r="E111" s="27">
        <f>E45</f>
        <v>60932.020000000004</v>
      </c>
      <c r="F111" s="27">
        <f>E114</f>
        <v>61077.709999999992</v>
      </c>
      <c r="G111" s="27">
        <f t="shared" ref="G111:O111" si="77">F114</f>
        <v>61077.709999999992</v>
      </c>
      <c r="H111" s="27">
        <f t="shared" si="77"/>
        <v>61077.709999999992</v>
      </c>
      <c r="I111" s="27">
        <f t="shared" si="77"/>
        <v>61077.709999999992</v>
      </c>
      <c r="J111" s="27">
        <f t="shared" si="77"/>
        <v>61077.709999999992</v>
      </c>
      <c r="K111" s="27">
        <f t="shared" si="77"/>
        <v>61077.709999999992</v>
      </c>
      <c r="L111" s="27">
        <f t="shared" si="77"/>
        <v>61077.709999999992</v>
      </c>
      <c r="M111" s="27">
        <f t="shared" si="77"/>
        <v>61077.709999999992</v>
      </c>
      <c r="N111" s="27">
        <f t="shared" si="77"/>
        <v>61077.709999999992</v>
      </c>
      <c r="O111" s="27">
        <f t="shared" si="77"/>
        <v>61077.709999999992</v>
      </c>
    </row>
    <row r="112" spans="1:15" x14ac:dyDescent="0.25">
      <c r="A112" t="s">
        <v>120</v>
      </c>
      <c r="E112">
        <v>145.689999999988</v>
      </c>
      <c r="F112" s="33">
        <v>0</v>
      </c>
      <c r="G112" s="33">
        <v>0</v>
      </c>
      <c r="H112" s="33">
        <v>0</v>
      </c>
      <c r="I112" s="33">
        <v>0</v>
      </c>
      <c r="J112" s="33">
        <v>0</v>
      </c>
      <c r="K112" s="33">
        <v>0</v>
      </c>
      <c r="L112" s="33">
        <v>0</v>
      </c>
      <c r="M112" s="33">
        <v>0</v>
      </c>
      <c r="N112" s="33">
        <v>0</v>
      </c>
      <c r="O112" s="33">
        <v>0</v>
      </c>
    </row>
    <row r="113" spans="1:17" x14ac:dyDescent="0.25">
      <c r="A113" t="s">
        <v>121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7" s="2" customFormat="1" x14ac:dyDescent="0.25">
      <c r="A114" s="2" t="s">
        <v>122</v>
      </c>
      <c r="E114" s="30">
        <f>SUM(E111:E113)</f>
        <v>61077.709999999992</v>
      </c>
      <c r="F114" s="30">
        <f t="shared" ref="F114:O114" si="78">SUM(F111:F113)</f>
        <v>61077.709999999992</v>
      </c>
      <c r="G114" s="30">
        <f t="shared" si="78"/>
        <v>61077.709999999992</v>
      </c>
      <c r="H114" s="30">
        <f t="shared" si="78"/>
        <v>61077.709999999992</v>
      </c>
      <c r="I114" s="30">
        <f t="shared" si="78"/>
        <v>61077.709999999992</v>
      </c>
      <c r="J114" s="30">
        <f t="shared" si="78"/>
        <v>61077.709999999992</v>
      </c>
      <c r="K114" s="30">
        <f t="shared" si="78"/>
        <v>61077.709999999992</v>
      </c>
      <c r="L114" s="30">
        <f t="shared" si="78"/>
        <v>61077.709999999992</v>
      </c>
      <c r="M114" s="30">
        <f t="shared" si="78"/>
        <v>61077.709999999992</v>
      </c>
      <c r="N114" s="30">
        <f t="shared" si="78"/>
        <v>61077.709999999992</v>
      </c>
      <c r="O114" s="30">
        <f t="shared" si="78"/>
        <v>61077.709999999992</v>
      </c>
    </row>
    <row r="116" spans="1:17" ht="15.75" x14ac:dyDescent="0.25">
      <c r="A116" s="2" t="s">
        <v>117</v>
      </c>
      <c r="F116" s="10">
        <v>1</v>
      </c>
      <c r="G116" s="10">
        <v>2</v>
      </c>
      <c r="H116" s="2">
        <v>3</v>
      </c>
      <c r="I116" s="2">
        <v>4</v>
      </c>
      <c r="J116" s="2">
        <v>5</v>
      </c>
      <c r="K116" s="2">
        <v>6</v>
      </c>
      <c r="L116" s="2">
        <v>7</v>
      </c>
      <c r="M116" s="2">
        <v>8</v>
      </c>
      <c r="N116" s="2">
        <v>9</v>
      </c>
      <c r="O116" s="2">
        <v>10</v>
      </c>
    </row>
    <row r="117" spans="1:17" s="39" customFormat="1" x14ac:dyDescent="0.25">
      <c r="A117" s="39" t="s">
        <v>76</v>
      </c>
      <c r="B117" s="40">
        <f>B28</f>
        <v>-293</v>
      </c>
      <c r="C117" s="40">
        <f>C28</f>
        <v>-338.29</v>
      </c>
      <c r="D117" s="40">
        <f>D28</f>
        <v>-503.79</v>
      </c>
      <c r="F117" s="41">
        <f t="shared" ref="F117:O117" si="79">-(F116*F15*F19)</f>
        <v>-237.78888000000001</v>
      </c>
      <c r="G117" s="41">
        <f t="shared" si="79"/>
        <v>-561.18175680000002</v>
      </c>
      <c r="H117" s="41">
        <f t="shared" si="79"/>
        <v>-993.29170953599998</v>
      </c>
      <c r="I117" s="41">
        <f t="shared" si="79"/>
        <v>-1562.7789563366398</v>
      </c>
      <c r="J117" s="41">
        <f t="shared" si="79"/>
        <v>-2305.0989605965433</v>
      </c>
      <c r="K117" s="41">
        <f t="shared" si="79"/>
        <v>-3264.0201282047051</v>
      </c>
      <c r="L117" s="41">
        <f t="shared" si="79"/>
        <v>-4493.4677098284774</v>
      </c>
      <c r="M117" s="41">
        <f t="shared" si="79"/>
        <v>-6059.7621686829743</v>
      </c>
      <c r="N117" s="41">
        <f t="shared" si="79"/>
        <v>-8044.334278926648</v>
      </c>
      <c r="O117" s="41">
        <f t="shared" si="79"/>
        <v>-10547.016054592716</v>
      </c>
    </row>
    <row r="119" spans="1:17" x14ac:dyDescent="0.25">
      <c r="A119" s="2" t="s">
        <v>123</v>
      </c>
      <c r="F119" s="2">
        <v>1</v>
      </c>
      <c r="G119" s="2">
        <v>2</v>
      </c>
      <c r="H119" s="2">
        <v>3</v>
      </c>
      <c r="I119" s="2">
        <v>4</v>
      </c>
      <c r="J119" s="2">
        <v>5</v>
      </c>
      <c r="K119" s="2">
        <v>6</v>
      </c>
      <c r="L119" s="2">
        <v>7</v>
      </c>
      <c r="M119" s="2">
        <v>8</v>
      </c>
      <c r="N119" s="2">
        <v>9</v>
      </c>
      <c r="O119" s="2">
        <v>10</v>
      </c>
    </row>
    <row r="120" spans="1:17" x14ac:dyDescent="0.25">
      <c r="A120" t="s">
        <v>124</v>
      </c>
      <c r="F120" s="27">
        <f t="shared" ref="F120:O120" ca="1" si="80">F102</f>
        <v>-290.8545582573455</v>
      </c>
      <c r="G120" s="27">
        <f t="shared" ca="1" si="80"/>
        <v>-290.8545582573455</v>
      </c>
      <c r="H120" s="27">
        <f t="shared" ca="1" si="80"/>
        <v>-290.8545582573455</v>
      </c>
      <c r="I120" s="27">
        <f t="shared" ca="1" si="80"/>
        <v>-290.8545582573455</v>
      </c>
      <c r="J120" s="27">
        <f t="shared" ca="1" si="80"/>
        <v>-290.8545582573455</v>
      </c>
      <c r="K120" s="27">
        <f t="shared" ca="1" si="80"/>
        <v>-290.8545582573455</v>
      </c>
      <c r="L120" s="27">
        <f t="shared" ca="1" si="80"/>
        <v>-290.8545582573455</v>
      </c>
      <c r="M120" s="27">
        <f t="shared" ca="1" si="80"/>
        <v>-290.8545582573455</v>
      </c>
      <c r="N120" s="27">
        <f t="shared" ca="1" si="80"/>
        <v>-290.8545582573455</v>
      </c>
      <c r="O120" s="27">
        <f t="shared" ca="1" si="80"/>
        <v>-290.8545582573455</v>
      </c>
    </row>
    <row r="124" spans="1:17" ht="15.75" x14ac:dyDescent="0.25">
      <c r="A124" s="8" t="s">
        <v>125</v>
      </c>
      <c r="B124" s="31">
        <v>1.8200000000000001E-2</v>
      </c>
      <c r="C124" s="31">
        <v>2.99E-3</v>
      </c>
      <c r="D124" s="31">
        <v>1.0999999999999999E-2</v>
      </c>
      <c r="E124" s="31"/>
      <c r="F124" s="31">
        <v>0.02</v>
      </c>
      <c r="G124" s="31">
        <v>2.5000000000000001E-2</v>
      </c>
      <c r="H124" s="12">
        <v>2.5000000000000001E-2</v>
      </c>
      <c r="I124" s="12">
        <v>0.03</v>
      </c>
      <c r="J124" s="12">
        <v>0.03</v>
      </c>
      <c r="K124" s="12">
        <v>0.03</v>
      </c>
      <c r="L124" s="12">
        <v>0.03</v>
      </c>
      <c r="M124" s="12">
        <v>0.03</v>
      </c>
      <c r="N124" s="12">
        <v>0.03</v>
      </c>
      <c r="O124" s="12">
        <v>0.03</v>
      </c>
    </row>
    <row r="126" spans="1:17" x14ac:dyDescent="0.25">
      <c r="A126" s="2" t="s">
        <v>126</v>
      </c>
      <c r="B126" s="37" t="s">
        <v>190</v>
      </c>
      <c r="C126" s="37" t="s">
        <v>173</v>
      </c>
      <c r="D126" s="37" t="s">
        <v>174</v>
      </c>
      <c r="E126" s="37"/>
      <c r="F126" s="38" t="s">
        <v>189</v>
      </c>
      <c r="G126" s="38" t="s">
        <v>175</v>
      </c>
      <c r="H126" s="38" t="s">
        <v>176</v>
      </c>
      <c r="I126" s="38" t="s">
        <v>177</v>
      </c>
      <c r="J126" s="38" t="s">
        <v>178</v>
      </c>
      <c r="K126" s="38" t="s">
        <v>179</v>
      </c>
      <c r="L126" s="38" t="s">
        <v>180</v>
      </c>
      <c r="M126" s="38" t="s">
        <v>181</v>
      </c>
      <c r="N126" s="38" t="s">
        <v>182</v>
      </c>
      <c r="O126" s="38" t="s">
        <v>183</v>
      </c>
      <c r="Q126" t="s">
        <v>164</v>
      </c>
    </row>
    <row r="127" spans="1:17" x14ac:dyDescent="0.25">
      <c r="A127" t="s">
        <v>62</v>
      </c>
      <c r="F127" s="12">
        <f>F124+$Q127</f>
        <v>0.05</v>
      </c>
      <c r="G127" s="12">
        <f t="shared" ref="G127:O127" si="81">G124+$Q127</f>
        <v>5.5E-2</v>
      </c>
      <c r="H127" s="12">
        <f t="shared" si="81"/>
        <v>5.5E-2</v>
      </c>
      <c r="I127" s="12">
        <f t="shared" si="81"/>
        <v>0.06</v>
      </c>
      <c r="J127" s="12">
        <f t="shared" si="81"/>
        <v>0.06</v>
      </c>
      <c r="K127" s="12">
        <f t="shared" si="81"/>
        <v>0.06</v>
      </c>
      <c r="L127" s="12">
        <f t="shared" si="81"/>
        <v>0.06</v>
      </c>
      <c r="M127" s="12">
        <f t="shared" si="81"/>
        <v>0.06</v>
      </c>
      <c r="N127" s="12">
        <f t="shared" si="81"/>
        <v>0.06</v>
      </c>
      <c r="O127" s="12">
        <f t="shared" si="81"/>
        <v>0.06</v>
      </c>
      <c r="Q127" s="12">
        <v>0.03</v>
      </c>
    </row>
    <row r="128" spans="1:17" x14ac:dyDescent="0.25">
      <c r="A128" t="s">
        <v>65</v>
      </c>
      <c r="F128" s="32">
        <f>F124+$Q128</f>
        <v>5.5000000000000007E-2</v>
      </c>
      <c r="G128" s="32">
        <f t="shared" ref="G128:O128" si="82">G124+$Q128</f>
        <v>6.0000000000000005E-2</v>
      </c>
      <c r="H128" s="32">
        <f t="shared" si="82"/>
        <v>6.0000000000000005E-2</v>
      </c>
      <c r="I128" s="32">
        <f t="shared" si="82"/>
        <v>6.5000000000000002E-2</v>
      </c>
      <c r="J128" s="32">
        <f t="shared" si="82"/>
        <v>6.5000000000000002E-2</v>
      </c>
      <c r="K128" s="32">
        <f t="shared" si="82"/>
        <v>6.5000000000000002E-2</v>
      </c>
      <c r="L128" s="32">
        <f t="shared" si="82"/>
        <v>6.5000000000000002E-2</v>
      </c>
      <c r="M128" s="32">
        <f t="shared" si="82"/>
        <v>6.5000000000000002E-2</v>
      </c>
      <c r="N128" s="32">
        <f t="shared" si="82"/>
        <v>6.5000000000000002E-2</v>
      </c>
      <c r="O128" s="32">
        <f t="shared" si="82"/>
        <v>6.5000000000000002E-2</v>
      </c>
      <c r="Q128" s="12">
        <v>3.5000000000000003E-2</v>
      </c>
    </row>
    <row r="129" spans="1:18" x14ac:dyDescent="0.25">
      <c r="A129" t="s">
        <v>66</v>
      </c>
      <c r="F129" s="32">
        <f>F124+$Q129</f>
        <v>0.06</v>
      </c>
      <c r="G129" s="32">
        <f t="shared" ref="G129:O129" si="83">G124+$Q129</f>
        <v>6.5000000000000002E-2</v>
      </c>
      <c r="H129" s="32">
        <f t="shared" si="83"/>
        <v>6.5000000000000002E-2</v>
      </c>
      <c r="I129" s="32">
        <f t="shared" si="83"/>
        <v>7.0000000000000007E-2</v>
      </c>
      <c r="J129" s="32">
        <f t="shared" si="83"/>
        <v>7.0000000000000007E-2</v>
      </c>
      <c r="K129" s="32">
        <f t="shared" si="83"/>
        <v>7.0000000000000007E-2</v>
      </c>
      <c r="L129" s="32">
        <f t="shared" si="83"/>
        <v>7.0000000000000007E-2</v>
      </c>
      <c r="M129" s="32">
        <f t="shared" si="83"/>
        <v>7.0000000000000007E-2</v>
      </c>
      <c r="N129" s="32">
        <f t="shared" si="83"/>
        <v>7.0000000000000007E-2</v>
      </c>
      <c r="O129" s="32">
        <f t="shared" si="83"/>
        <v>7.0000000000000007E-2</v>
      </c>
      <c r="Q129" s="12">
        <v>0.04</v>
      </c>
    </row>
    <row r="130" spans="1:18" x14ac:dyDescent="0.25">
      <c r="A130" t="s">
        <v>103</v>
      </c>
      <c r="F130" s="32">
        <f>F124+$Q130</f>
        <v>0.05</v>
      </c>
      <c r="G130" s="32">
        <f t="shared" ref="G130:O130" si="84">G124+$Q130</f>
        <v>5.5E-2</v>
      </c>
      <c r="H130" s="32">
        <f t="shared" si="84"/>
        <v>5.5E-2</v>
      </c>
      <c r="I130" s="32">
        <f t="shared" si="84"/>
        <v>0.06</v>
      </c>
      <c r="J130" s="32">
        <f t="shared" si="84"/>
        <v>0.06</v>
      </c>
      <c r="K130" s="32">
        <f t="shared" si="84"/>
        <v>0.06</v>
      </c>
      <c r="L130" s="32">
        <f t="shared" si="84"/>
        <v>0.06</v>
      </c>
      <c r="M130" s="32">
        <f t="shared" si="84"/>
        <v>0.06</v>
      </c>
      <c r="N130" s="32">
        <f t="shared" si="84"/>
        <v>0.06</v>
      </c>
      <c r="O130" s="32">
        <f t="shared" si="84"/>
        <v>0.06</v>
      </c>
      <c r="Q130" s="12">
        <v>0.03</v>
      </c>
    </row>
    <row r="132" spans="1:18" x14ac:dyDescent="0.25">
      <c r="A132" s="2" t="s">
        <v>127</v>
      </c>
      <c r="F132" s="2">
        <v>1</v>
      </c>
      <c r="G132" s="2">
        <v>2</v>
      </c>
      <c r="H132" s="2">
        <v>3</v>
      </c>
      <c r="I132" s="2">
        <v>4</v>
      </c>
      <c r="J132" s="2">
        <v>5</v>
      </c>
      <c r="K132" s="2">
        <v>6</v>
      </c>
      <c r="L132" s="2">
        <v>7</v>
      </c>
      <c r="M132" s="2">
        <v>8</v>
      </c>
      <c r="N132" s="2">
        <v>9</v>
      </c>
      <c r="O132" s="2">
        <v>10</v>
      </c>
      <c r="Q132" t="s">
        <v>165</v>
      </c>
      <c r="R132" t="s">
        <v>166</v>
      </c>
    </row>
    <row r="133" spans="1:18" x14ac:dyDescent="0.25">
      <c r="A133" t="s">
        <v>62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1</v>
      </c>
      <c r="N133" s="11">
        <v>0</v>
      </c>
      <c r="O133" s="11">
        <v>0</v>
      </c>
      <c r="Q133" s="11">
        <v>0</v>
      </c>
      <c r="R133">
        <v>7</v>
      </c>
    </row>
    <row r="134" spans="1:18" x14ac:dyDescent="0.25">
      <c r="A134" t="s">
        <v>65</v>
      </c>
      <c r="F134" s="11">
        <v>0.1</v>
      </c>
      <c r="G134" s="11">
        <v>0.1</v>
      </c>
      <c r="H134" s="11">
        <v>0.1</v>
      </c>
      <c r="I134" s="11">
        <v>0.1</v>
      </c>
      <c r="J134" s="11">
        <v>0.1</v>
      </c>
      <c r="K134" s="11">
        <v>0.1</v>
      </c>
      <c r="L134" s="11">
        <v>0.1</v>
      </c>
      <c r="M134" s="11">
        <v>0.1</v>
      </c>
      <c r="N134" s="11">
        <v>0.2</v>
      </c>
      <c r="O134" s="11">
        <v>0</v>
      </c>
      <c r="Q134" s="11">
        <v>0.1</v>
      </c>
      <c r="R134">
        <v>8</v>
      </c>
    </row>
    <row r="135" spans="1:18" x14ac:dyDescent="0.25">
      <c r="A135" t="s">
        <v>66</v>
      </c>
      <c r="F135" s="11">
        <v>0.05</v>
      </c>
      <c r="G135" s="11">
        <v>0.05</v>
      </c>
      <c r="H135" s="11">
        <v>0.05</v>
      </c>
      <c r="I135" s="11">
        <v>0.05</v>
      </c>
      <c r="J135" s="11">
        <v>0.05</v>
      </c>
      <c r="K135" s="11">
        <v>0.05</v>
      </c>
      <c r="L135" s="11">
        <v>0.05</v>
      </c>
      <c r="M135" s="11">
        <v>0.05</v>
      </c>
      <c r="N135" s="11">
        <v>0.05</v>
      </c>
      <c r="O135" s="11">
        <v>0.55000000000000004</v>
      </c>
      <c r="Q135" s="11">
        <v>0.05</v>
      </c>
      <c r="R135">
        <v>9</v>
      </c>
    </row>
    <row r="138" spans="1:18" ht="15.75" x14ac:dyDescent="0.25">
      <c r="A138" s="8" t="s">
        <v>128</v>
      </c>
      <c r="B138" s="4"/>
      <c r="C138" s="4"/>
      <c r="D138" s="4"/>
      <c r="E138" s="4"/>
      <c r="F138" s="4"/>
      <c r="G138" s="4"/>
    </row>
    <row r="139" spans="1:18" x14ac:dyDescent="0.25">
      <c r="A139" t="s">
        <v>14</v>
      </c>
      <c r="B139" s="37" t="s">
        <v>190</v>
      </c>
      <c r="C139" s="37" t="s">
        <v>173</v>
      </c>
      <c r="D139" s="37" t="s">
        <v>174</v>
      </c>
      <c r="E139" s="37"/>
      <c r="F139" s="38" t="s">
        <v>189</v>
      </c>
      <c r="G139" s="38" t="s">
        <v>175</v>
      </c>
      <c r="H139" s="38" t="s">
        <v>176</v>
      </c>
      <c r="I139" s="38" t="s">
        <v>177</v>
      </c>
      <c r="J139" s="38" t="s">
        <v>178</v>
      </c>
      <c r="K139" s="38" t="s">
        <v>179</v>
      </c>
      <c r="L139" s="38" t="s">
        <v>180</v>
      </c>
      <c r="M139" s="38" t="s">
        <v>181</v>
      </c>
      <c r="N139" s="38" t="s">
        <v>182</v>
      </c>
      <c r="O139" s="38" t="s">
        <v>183</v>
      </c>
    </row>
    <row r="140" spans="1:18" x14ac:dyDescent="0.25">
      <c r="A140" t="s">
        <v>129</v>
      </c>
      <c r="F140" s="1">
        <f ca="1">'LBO VALUATION DRIVERS'!B51</f>
        <v>30215.81023302938</v>
      </c>
      <c r="G140" s="1">
        <f ca="1">F140</f>
        <v>30215.81023302938</v>
      </c>
      <c r="H140" s="1">
        <f t="shared" ref="H140:M140" ca="1" si="85">G140</f>
        <v>30215.81023302938</v>
      </c>
      <c r="I140" s="1">
        <f t="shared" ca="1" si="85"/>
        <v>30215.81023302938</v>
      </c>
      <c r="J140" s="1">
        <f t="shared" ca="1" si="85"/>
        <v>30215.81023302938</v>
      </c>
      <c r="K140" s="1">
        <f t="shared" ca="1" si="85"/>
        <v>30215.81023302938</v>
      </c>
      <c r="L140" s="1">
        <f t="shared" ca="1" si="85"/>
        <v>30215.81023302938</v>
      </c>
      <c r="M140" s="1">
        <f t="shared" ca="1" si="85"/>
        <v>30215.81023302938</v>
      </c>
      <c r="N140" s="1">
        <f ca="1">M142</f>
        <v>0</v>
      </c>
      <c r="O140" s="1">
        <f ca="1">N142</f>
        <v>0</v>
      </c>
    </row>
    <row r="141" spans="1:18" x14ac:dyDescent="0.25">
      <c r="A141" t="s">
        <v>130</v>
      </c>
      <c r="F141" s="33">
        <v>0</v>
      </c>
      <c r="G141" s="33">
        <v>0</v>
      </c>
      <c r="H141" s="33">
        <v>0</v>
      </c>
      <c r="I141" s="33">
        <v>0</v>
      </c>
      <c r="J141" s="33">
        <v>0</v>
      </c>
      <c r="K141" s="33">
        <v>0</v>
      </c>
      <c r="L141" s="33">
        <v>0</v>
      </c>
      <c r="M141" s="1">
        <f ca="1">-M140</f>
        <v>-30215.81023302938</v>
      </c>
      <c r="N141" s="1">
        <f ca="1">N140*N133</f>
        <v>0</v>
      </c>
      <c r="O141" s="1">
        <f ca="1">O140*O133</f>
        <v>0</v>
      </c>
    </row>
    <row r="142" spans="1:18" x14ac:dyDescent="0.25">
      <c r="A142" s="2" t="s">
        <v>131</v>
      </c>
      <c r="F142" s="1">
        <f ca="1">F140+F141</f>
        <v>30215.81023302938</v>
      </c>
      <c r="G142" s="1">
        <f t="shared" ref="G142:M142" ca="1" si="86">G140+G141</f>
        <v>30215.81023302938</v>
      </c>
      <c r="H142" s="1">
        <f t="shared" ca="1" si="86"/>
        <v>30215.81023302938</v>
      </c>
      <c r="I142" s="1">
        <f t="shared" ca="1" si="86"/>
        <v>30215.81023302938</v>
      </c>
      <c r="J142" s="1">
        <f t="shared" ca="1" si="86"/>
        <v>30215.81023302938</v>
      </c>
      <c r="K142" s="1">
        <f t="shared" ca="1" si="86"/>
        <v>30215.81023302938</v>
      </c>
      <c r="L142" s="1">
        <f t="shared" ca="1" si="86"/>
        <v>30215.81023302938</v>
      </c>
      <c r="M142" s="1">
        <f t="shared" ca="1" si="86"/>
        <v>0</v>
      </c>
      <c r="N142" s="1">
        <f t="shared" ref="N142" ca="1" si="87">N140+N141</f>
        <v>0</v>
      </c>
      <c r="O142" s="1">
        <f t="shared" ref="O142" ca="1" si="88">O140+O141</f>
        <v>0</v>
      </c>
    </row>
    <row r="143" spans="1:18" x14ac:dyDescent="0.25">
      <c r="A143" t="s">
        <v>132</v>
      </c>
      <c r="F143" s="1">
        <f ca="1">-F127*F140</f>
        <v>-1510.7905116514692</v>
      </c>
      <c r="G143" s="1">
        <f t="shared" ref="G143:M143" ca="1" si="89">-G127*G140</f>
        <v>-1661.8695628166158</v>
      </c>
      <c r="H143" s="1">
        <f t="shared" ca="1" si="89"/>
        <v>-1661.8695628166158</v>
      </c>
      <c r="I143" s="1">
        <f t="shared" ca="1" si="89"/>
        <v>-1812.9486139817627</v>
      </c>
      <c r="J143" s="1">
        <f t="shared" ca="1" si="89"/>
        <v>-1812.9486139817627</v>
      </c>
      <c r="K143" s="1">
        <f t="shared" ca="1" si="89"/>
        <v>-1812.9486139817627</v>
      </c>
      <c r="L143" s="1">
        <f t="shared" ca="1" si="89"/>
        <v>-1812.9486139817627</v>
      </c>
      <c r="M143" s="1">
        <f t="shared" ca="1" si="89"/>
        <v>-1812.9486139817627</v>
      </c>
      <c r="N143" s="1">
        <f t="shared" ref="N143" ca="1" si="90">-N127*N140</f>
        <v>0</v>
      </c>
      <c r="O143" s="1">
        <f t="shared" ref="O143" ca="1" si="91">-O127*O140</f>
        <v>0</v>
      </c>
    </row>
    <row r="145" spans="1:15" x14ac:dyDescent="0.25">
      <c r="A145" t="s">
        <v>133</v>
      </c>
      <c r="F145" s="1">
        <f>'LBO VALUATION DRIVERS'!B52</f>
        <v>18089.5</v>
      </c>
      <c r="G145" s="1">
        <f>F147</f>
        <v>16280.55</v>
      </c>
      <c r="H145" s="1">
        <f t="shared" ref="H145:O145" si="92">G147</f>
        <v>14471.599999999999</v>
      </c>
      <c r="I145" s="1">
        <f t="shared" si="92"/>
        <v>12662.649999999998</v>
      </c>
      <c r="J145" s="1">
        <f t="shared" si="92"/>
        <v>10853.699999999997</v>
      </c>
      <c r="K145" s="1">
        <f t="shared" si="92"/>
        <v>9044.7499999999964</v>
      </c>
      <c r="L145" s="1">
        <f t="shared" si="92"/>
        <v>7235.7999999999965</v>
      </c>
      <c r="M145" s="1">
        <f t="shared" si="92"/>
        <v>5426.8499999999967</v>
      </c>
      <c r="N145" s="1">
        <f t="shared" si="92"/>
        <v>3617.8999999999969</v>
      </c>
      <c r="O145" s="1">
        <f t="shared" si="92"/>
        <v>0</v>
      </c>
    </row>
    <row r="146" spans="1:15" x14ac:dyDescent="0.25">
      <c r="A146" t="s">
        <v>134</v>
      </c>
      <c r="F146" s="1">
        <f>-$F145*F134</f>
        <v>-1808.95</v>
      </c>
      <c r="G146" s="1">
        <f t="shared" ref="G146:N146" si="93">-$F145*G134</f>
        <v>-1808.95</v>
      </c>
      <c r="H146" s="1">
        <f t="shared" si="93"/>
        <v>-1808.95</v>
      </c>
      <c r="I146" s="1">
        <f t="shared" si="93"/>
        <v>-1808.95</v>
      </c>
      <c r="J146" s="1">
        <f t="shared" si="93"/>
        <v>-1808.95</v>
      </c>
      <c r="K146" s="1">
        <f t="shared" si="93"/>
        <v>-1808.95</v>
      </c>
      <c r="L146" s="1">
        <f t="shared" si="93"/>
        <v>-1808.95</v>
      </c>
      <c r="M146" s="1">
        <f t="shared" si="93"/>
        <v>-1808.95</v>
      </c>
      <c r="N146" s="1">
        <f t="shared" si="93"/>
        <v>-3617.9</v>
      </c>
      <c r="O146" s="1">
        <f>-O145</f>
        <v>0</v>
      </c>
    </row>
    <row r="147" spans="1:15" x14ac:dyDescent="0.25">
      <c r="A147" s="2" t="s">
        <v>135</v>
      </c>
      <c r="F147" s="1">
        <f>F145+F146</f>
        <v>16280.55</v>
      </c>
      <c r="G147" s="1">
        <f t="shared" ref="G147:N147" si="94">G145+G146</f>
        <v>14471.599999999999</v>
      </c>
      <c r="H147" s="1">
        <f t="shared" si="94"/>
        <v>12662.649999999998</v>
      </c>
      <c r="I147" s="1">
        <f t="shared" si="94"/>
        <v>10853.699999999997</v>
      </c>
      <c r="J147" s="1">
        <f t="shared" si="94"/>
        <v>9044.7499999999964</v>
      </c>
      <c r="K147" s="1">
        <f t="shared" si="94"/>
        <v>7235.7999999999965</v>
      </c>
      <c r="L147" s="1">
        <f t="shared" si="94"/>
        <v>5426.8499999999967</v>
      </c>
      <c r="M147" s="1">
        <f t="shared" si="94"/>
        <v>3617.8999999999969</v>
      </c>
      <c r="N147" s="1">
        <f t="shared" si="94"/>
        <v>0</v>
      </c>
      <c r="O147" s="1">
        <f t="shared" ref="O147" si="95">O145+O146</f>
        <v>0</v>
      </c>
    </row>
    <row r="148" spans="1:15" x14ac:dyDescent="0.25">
      <c r="A148" t="s">
        <v>136</v>
      </c>
      <c r="F148" s="1">
        <f>-F128*F145</f>
        <v>-994.92250000000013</v>
      </c>
      <c r="G148" s="1">
        <f t="shared" ref="G148:N148" si="96">-G128*G145</f>
        <v>-976.83300000000008</v>
      </c>
      <c r="H148" s="1">
        <f t="shared" si="96"/>
        <v>-868.29599999999994</v>
      </c>
      <c r="I148" s="1">
        <f t="shared" si="96"/>
        <v>-823.07224999999994</v>
      </c>
      <c r="J148" s="1">
        <f t="shared" si="96"/>
        <v>-705.49049999999988</v>
      </c>
      <c r="K148" s="1">
        <f t="shared" si="96"/>
        <v>-587.90874999999983</v>
      </c>
      <c r="L148" s="1">
        <f t="shared" si="96"/>
        <v>-470.32699999999977</v>
      </c>
      <c r="M148" s="1">
        <f t="shared" si="96"/>
        <v>-352.74524999999977</v>
      </c>
      <c r="N148" s="1">
        <f t="shared" si="96"/>
        <v>-235.1634999999998</v>
      </c>
      <c r="O148" s="1">
        <f t="shared" ref="O148" si="97">-O128*O145</f>
        <v>0</v>
      </c>
    </row>
    <row r="150" spans="1:15" x14ac:dyDescent="0.25">
      <c r="A150" t="s">
        <v>137</v>
      </c>
      <c r="F150" s="1">
        <f ca="1">'LBO VALUATION DRIVERS'!B53</f>
        <v>11330.928837386016</v>
      </c>
      <c r="G150" s="1">
        <f ca="1">F152</f>
        <v>10764.382395516715</v>
      </c>
      <c r="H150" s="1">
        <f t="shared" ref="H150:O150" ca="1" si="98">G152</f>
        <v>10197.835953647414</v>
      </c>
      <c r="I150" s="1">
        <f t="shared" ca="1" si="98"/>
        <v>9631.2895117781136</v>
      </c>
      <c r="J150" s="1">
        <f t="shared" ca="1" si="98"/>
        <v>9064.7430699088127</v>
      </c>
      <c r="K150" s="1">
        <f t="shared" ca="1" si="98"/>
        <v>8498.1966280395118</v>
      </c>
      <c r="L150" s="1">
        <f t="shared" ca="1" si="98"/>
        <v>7931.6501861702109</v>
      </c>
      <c r="M150" s="1">
        <f t="shared" ca="1" si="98"/>
        <v>7365.10374430091</v>
      </c>
      <c r="N150" s="1">
        <f t="shared" ca="1" si="98"/>
        <v>6798.5573024316091</v>
      </c>
      <c r="O150" s="1">
        <f t="shared" ca="1" si="98"/>
        <v>6232.0108605623082</v>
      </c>
    </row>
    <row r="151" spans="1:15" x14ac:dyDescent="0.25">
      <c r="A151" t="s">
        <v>138</v>
      </c>
      <c r="F151" s="1">
        <f ca="1">-$F150*F135</f>
        <v>-566.54644186930079</v>
      </c>
      <c r="G151" s="1">
        <f t="shared" ref="G151:N151" ca="1" si="99">-$F150*G135</f>
        <v>-566.54644186930079</v>
      </c>
      <c r="H151" s="1">
        <f t="shared" ca="1" si="99"/>
        <v>-566.54644186930079</v>
      </c>
      <c r="I151" s="1">
        <f t="shared" ca="1" si="99"/>
        <v>-566.54644186930079</v>
      </c>
      <c r="J151" s="1">
        <f t="shared" ca="1" si="99"/>
        <v>-566.54644186930079</v>
      </c>
      <c r="K151" s="1">
        <f t="shared" ca="1" si="99"/>
        <v>-566.54644186930079</v>
      </c>
      <c r="L151" s="1">
        <f t="shared" ca="1" si="99"/>
        <v>-566.54644186930079</v>
      </c>
      <c r="M151" s="1">
        <f t="shared" ca="1" si="99"/>
        <v>-566.54644186930079</v>
      </c>
      <c r="N151" s="1">
        <f t="shared" ca="1" si="99"/>
        <v>-566.54644186930079</v>
      </c>
      <c r="O151" s="27">
        <f ca="1">-O150</f>
        <v>-6232.0108605623082</v>
      </c>
    </row>
    <row r="152" spans="1:15" x14ac:dyDescent="0.25">
      <c r="A152" s="2" t="s">
        <v>139</v>
      </c>
      <c r="F152" s="27">
        <f ca="1">F150+F151</f>
        <v>10764.382395516715</v>
      </c>
      <c r="G152" s="27">
        <f t="shared" ref="G152:O152" ca="1" si="100">G150+G151</f>
        <v>10197.835953647414</v>
      </c>
      <c r="H152" s="27">
        <f t="shared" ca="1" si="100"/>
        <v>9631.2895117781136</v>
      </c>
      <c r="I152" s="27">
        <f t="shared" ca="1" si="100"/>
        <v>9064.7430699088127</v>
      </c>
      <c r="J152" s="27">
        <f t="shared" ca="1" si="100"/>
        <v>8498.1966280395118</v>
      </c>
      <c r="K152" s="27">
        <f t="shared" ca="1" si="100"/>
        <v>7931.6501861702109</v>
      </c>
      <c r="L152" s="27">
        <f t="shared" ca="1" si="100"/>
        <v>7365.10374430091</v>
      </c>
      <c r="M152" s="27">
        <f t="shared" ca="1" si="100"/>
        <v>6798.5573024316091</v>
      </c>
      <c r="N152" s="27">
        <f t="shared" ca="1" si="100"/>
        <v>6232.0108605623082</v>
      </c>
      <c r="O152" s="27">
        <f t="shared" ca="1" si="100"/>
        <v>0</v>
      </c>
    </row>
    <row r="153" spans="1:15" x14ac:dyDescent="0.25">
      <c r="A153" t="s">
        <v>140</v>
      </c>
      <c r="F153" s="1">
        <f ca="1">-F150*F129</f>
        <v>-679.85573024316091</v>
      </c>
      <c r="G153" s="1">
        <f t="shared" ref="G153:O153" ca="1" si="101">-G150*G129</f>
        <v>-699.6848557085865</v>
      </c>
      <c r="H153" s="1">
        <f t="shared" ca="1" si="101"/>
        <v>-662.85933698708197</v>
      </c>
      <c r="I153" s="1">
        <f t="shared" ca="1" si="101"/>
        <v>-674.19026582446804</v>
      </c>
      <c r="J153" s="1">
        <f t="shared" ca="1" si="101"/>
        <v>-634.53201489361697</v>
      </c>
      <c r="K153" s="1">
        <f t="shared" ca="1" si="101"/>
        <v>-594.87376396276591</v>
      </c>
      <c r="L153" s="1">
        <f t="shared" ca="1" si="101"/>
        <v>-555.21551303191484</v>
      </c>
      <c r="M153" s="1">
        <f t="shared" ca="1" si="101"/>
        <v>-515.55726210106377</v>
      </c>
      <c r="N153" s="1">
        <f t="shared" ca="1" si="101"/>
        <v>-475.8990111702127</v>
      </c>
      <c r="O153" s="1">
        <f t="shared" ca="1" si="101"/>
        <v>-436.24076023936163</v>
      </c>
    </row>
    <row r="156" spans="1:15" x14ac:dyDescent="0.25">
      <c r="A156" s="2" t="s">
        <v>141</v>
      </c>
    </row>
    <row r="157" spans="1:15" x14ac:dyDescent="0.25">
      <c r="A157" t="s">
        <v>100</v>
      </c>
      <c r="F157" s="27">
        <f ca="1">F71</f>
        <v>-11162.170263554366</v>
      </c>
      <c r="G157" s="27">
        <f t="shared" ref="G157:O157" ca="1" si="102">G71</f>
        <v>985.01185933415093</v>
      </c>
      <c r="H157" s="27">
        <f t="shared" ca="1" si="102"/>
        <v>1763.6523082809301</v>
      </c>
      <c r="I157" s="27">
        <f t="shared" ca="1" si="102"/>
        <v>2449.0990534478469</v>
      </c>
      <c r="J157" s="27">
        <f t="shared" ca="1" si="102"/>
        <v>3497.432331396014</v>
      </c>
      <c r="K157" s="27">
        <f t="shared" ca="1" si="102"/>
        <v>4759.9377610749052</v>
      </c>
      <c r="L157" s="27">
        <f t="shared" ca="1" si="102"/>
        <v>6281.1364148227858</v>
      </c>
      <c r="M157" s="27">
        <f t="shared" ca="1" si="102"/>
        <v>6802.3211379513796</v>
      </c>
      <c r="N157" s="27">
        <f t="shared" ca="1" si="102"/>
        <v>10160.904300693028</v>
      </c>
      <c r="O157" s="27">
        <f t="shared" ca="1" si="102"/>
        <v>12690.756994216472</v>
      </c>
    </row>
    <row r="158" spans="1:15" x14ac:dyDescent="0.25">
      <c r="A158" t="s">
        <v>102</v>
      </c>
      <c r="F158" s="27">
        <f>F74</f>
        <v>-380.07975819999996</v>
      </c>
      <c r="G158" s="27">
        <f t="shared" ref="G158:O158" si="103">G74</f>
        <v>-566.51888169599988</v>
      </c>
      <c r="H158" s="27">
        <f t="shared" si="103"/>
        <v>-997.16765159857584</v>
      </c>
      <c r="I158" s="27">
        <f t="shared" si="103"/>
        <v>-1557.9212594751825</v>
      </c>
      <c r="J158" s="27">
        <f t="shared" si="103"/>
        <v>-2288.2379342755735</v>
      </c>
      <c r="K158" s="27">
        <f t="shared" si="103"/>
        <v>-3295.0626253568257</v>
      </c>
      <c r="L158" s="27">
        <f t="shared" si="103"/>
        <v>-4482.2004656589934</v>
      </c>
      <c r="M158" s="27">
        <f t="shared" si="103"/>
        <v>-6053.6707494020857</v>
      </c>
      <c r="N158" s="27">
        <f t="shared" si="103"/>
        <v>-8045.6470402053401</v>
      </c>
      <c r="O158" s="27">
        <f t="shared" si="103"/>
        <v>-10558.595863417137</v>
      </c>
    </row>
    <row r="159" spans="1:15" x14ac:dyDescent="0.25">
      <c r="A159" t="s">
        <v>142</v>
      </c>
      <c r="F159" s="27">
        <f ca="1">F78</f>
        <v>-2375.4964418693007</v>
      </c>
      <c r="G159" s="27">
        <f t="shared" ref="G159:O159" ca="1" si="104">G78</f>
        <v>-2375.4964418693007</v>
      </c>
      <c r="H159" s="27">
        <f t="shared" ca="1" si="104"/>
        <v>-2375.4964418693007</v>
      </c>
      <c r="I159" s="27">
        <f t="shared" ca="1" si="104"/>
        <v>-2375.4964418693007</v>
      </c>
      <c r="J159" s="27">
        <f t="shared" ca="1" si="104"/>
        <v>-2375.4964418693007</v>
      </c>
      <c r="K159" s="27">
        <f t="shared" ca="1" si="104"/>
        <v>-2375.4964418693007</v>
      </c>
      <c r="L159" s="27">
        <f t="shared" ca="1" si="104"/>
        <v>-2375.4964418693007</v>
      </c>
      <c r="M159" s="27">
        <f t="shared" ca="1" si="104"/>
        <v>-32591.306674898682</v>
      </c>
      <c r="N159" s="27">
        <f t="shared" ca="1" si="104"/>
        <v>-4184.4464418693005</v>
      </c>
      <c r="O159" s="27">
        <f t="shared" ca="1" si="104"/>
        <v>-6232.0108605623082</v>
      </c>
    </row>
    <row r="160" spans="1:15" x14ac:dyDescent="0.25">
      <c r="A160" t="s">
        <v>143</v>
      </c>
      <c r="F160" s="27">
        <f ca="1">F157+F158+F159</f>
        <v>-13917.746463623665</v>
      </c>
      <c r="G160" s="27">
        <f t="shared" ref="G160:O160" ca="1" si="105">G157+G158+G159</f>
        <v>-1957.0034642311498</v>
      </c>
      <c r="H160" s="27">
        <f t="shared" ca="1" si="105"/>
        <v>-1609.0117851869463</v>
      </c>
      <c r="I160" s="27">
        <f t="shared" ca="1" si="105"/>
        <v>-1484.3186478966363</v>
      </c>
      <c r="J160" s="27">
        <f t="shared" ca="1" si="105"/>
        <v>-1166.3020447488602</v>
      </c>
      <c r="K160" s="27">
        <f t="shared" ca="1" si="105"/>
        <v>-910.62130615122123</v>
      </c>
      <c r="L160" s="27">
        <f t="shared" ca="1" si="105"/>
        <v>-576.5604927055083</v>
      </c>
      <c r="M160" s="27">
        <f t="shared" ca="1" si="105"/>
        <v>-31842.656286349389</v>
      </c>
      <c r="N160" s="27">
        <f t="shared" ca="1" si="105"/>
        <v>-2069.1891813816128</v>
      </c>
      <c r="O160" s="27">
        <f t="shared" ca="1" si="105"/>
        <v>-4099.8497297629729</v>
      </c>
    </row>
    <row r="161" spans="1:15" x14ac:dyDescent="0.25">
      <c r="A161" t="s">
        <v>144</v>
      </c>
      <c r="F161" s="27">
        <f t="shared" ref="F161:O161" si="106">E38</f>
        <v>19697.27</v>
      </c>
      <c r="G161" s="27">
        <f t="shared" ca="1" si="106"/>
        <v>5779.523536376335</v>
      </c>
      <c r="H161" s="27">
        <f t="shared" ca="1" si="106"/>
        <v>3822.5200721451852</v>
      </c>
      <c r="I161" s="27">
        <f t="shared" ca="1" si="106"/>
        <v>2213.5082869582388</v>
      </c>
      <c r="J161" s="27">
        <f t="shared" ca="1" si="106"/>
        <v>2000</v>
      </c>
      <c r="K161" s="27">
        <f t="shared" ca="1" si="106"/>
        <v>2000</v>
      </c>
      <c r="L161" s="27">
        <f t="shared" ca="1" si="106"/>
        <v>2000</v>
      </c>
      <c r="M161" s="27">
        <f t="shared" ca="1" si="106"/>
        <v>2000</v>
      </c>
      <c r="N161" s="27">
        <f t="shared" ca="1" si="106"/>
        <v>2000.0000000000009</v>
      </c>
      <c r="O161" s="27">
        <f t="shared" ca="1" si="106"/>
        <v>2000.0000000010514</v>
      </c>
    </row>
    <row r="162" spans="1:15" x14ac:dyDescent="0.25">
      <c r="A162" t="s">
        <v>145</v>
      </c>
      <c r="F162" s="27">
        <f ca="1">F161+F160</f>
        <v>5779.523536376335</v>
      </c>
      <c r="G162" s="27">
        <f t="shared" ref="G162:O162" ca="1" si="107">G161+G160</f>
        <v>3822.5200721451852</v>
      </c>
      <c r="H162" s="27">
        <f t="shared" ca="1" si="107"/>
        <v>2213.5082869582388</v>
      </c>
      <c r="I162" s="27">
        <f t="shared" ca="1" si="107"/>
        <v>729.18963906160252</v>
      </c>
      <c r="J162" s="27">
        <f t="shared" ca="1" si="107"/>
        <v>833.69795525113977</v>
      </c>
      <c r="K162" s="27">
        <f t="shared" ca="1" si="107"/>
        <v>1089.3786938487788</v>
      </c>
      <c r="L162" s="27">
        <f t="shared" ca="1" si="107"/>
        <v>1423.4395072944917</v>
      </c>
      <c r="M162" s="27">
        <f t="shared" ca="1" si="107"/>
        <v>-29842.656286349389</v>
      </c>
      <c r="N162" s="27">
        <f t="shared" ca="1" si="107"/>
        <v>-69.189181381611888</v>
      </c>
      <c r="O162" s="27">
        <f t="shared" ca="1" si="107"/>
        <v>-2099.8497297619215</v>
      </c>
    </row>
    <row r="163" spans="1:15" x14ac:dyDescent="0.25">
      <c r="A163" t="s">
        <v>47</v>
      </c>
      <c r="F163" s="1">
        <f>'LBO VALUATION DRIVERS'!$B26</f>
        <v>2000</v>
      </c>
      <c r="G163" s="1">
        <f>'LBO VALUATION DRIVERS'!$B26</f>
        <v>2000</v>
      </c>
      <c r="H163" s="1">
        <f>'LBO VALUATION DRIVERS'!$B26</f>
        <v>2000</v>
      </c>
      <c r="I163" s="1">
        <f>'LBO VALUATION DRIVERS'!$B26</f>
        <v>2000</v>
      </c>
      <c r="J163" s="1">
        <f>'LBO VALUATION DRIVERS'!$B26</f>
        <v>2000</v>
      </c>
      <c r="K163" s="1">
        <f>'LBO VALUATION DRIVERS'!$B26</f>
        <v>2000</v>
      </c>
      <c r="L163" s="1">
        <f>'LBO VALUATION DRIVERS'!$B26</f>
        <v>2000</v>
      </c>
      <c r="M163" s="1">
        <f>'LBO VALUATION DRIVERS'!$B26</f>
        <v>2000</v>
      </c>
      <c r="N163" s="1">
        <f>'LBO VALUATION DRIVERS'!$B26</f>
        <v>2000</v>
      </c>
      <c r="O163" s="1">
        <f>'LBO VALUATION DRIVERS'!$B26</f>
        <v>2000</v>
      </c>
    </row>
    <row r="164" spans="1:15" x14ac:dyDescent="0.25">
      <c r="A164" t="s">
        <v>146</v>
      </c>
      <c r="F164" s="27">
        <f ca="1">F162-F163</f>
        <v>3779.523536376335</v>
      </c>
      <c r="G164" s="27">
        <f t="shared" ref="G164:O164" ca="1" si="108">G162-G163</f>
        <v>1822.5200721451852</v>
      </c>
      <c r="H164" s="27">
        <f t="shared" ca="1" si="108"/>
        <v>213.50828695823884</v>
      </c>
      <c r="I164" s="27">
        <f t="shared" ca="1" si="108"/>
        <v>-1270.8103609383975</v>
      </c>
      <c r="J164" s="27">
        <f t="shared" ca="1" si="108"/>
        <v>-1166.3020447488602</v>
      </c>
      <c r="K164" s="27">
        <f t="shared" ca="1" si="108"/>
        <v>-910.62130615122123</v>
      </c>
      <c r="L164" s="27">
        <f t="shared" ca="1" si="108"/>
        <v>-576.5604927055083</v>
      </c>
      <c r="M164" s="27">
        <f t="shared" ca="1" si="108"/>
        <v>-31842.656286349389</v>
      </c>
      <c r="N164" s="27">
        <f t="shared" ca="1" si="108"/>
        <v>-2069.1891813816119</v>
      </c>
      <c r="O164" s="27">
        <f t="shared" ca="1" si="108"/>
        <v>-4099.8497297619215</v>
      </c>
    </row>
    <row r="166" spans="1:15" x14ac:dyDescent="0.25">
      <c r="A166" t="s">
        <v>147</v>
      </c>
      <c r="F166" s="1">
        <f ca="1">IF(F164&lt;0,-F164,0)</f>
        <v>0</v>
      </c>
      <c r="G166" s="1">
        <f t="shared" ref="G166:O166" ca="1" si="109">IF(G164&lt;0,-G164,0)</f>
        <v>0</v>
      </c>
      <c r="H166" s="1">
        <f t="shared" ca="1" si="109"/>
        <v>0</v>
      </c>
      <c r="I166" s="1">
        <f t="shared" ca="1" si="109"/>
        <v>1270.8103609383975</v>
      </c>
      <c r="J166" s="1">
        <f t="shared" ca="1" si="109"/>
        <v>1166.3020447488602</v>
      </c>
      <c r="K166" s="1">
        <f t="shared" ca="1" si="109"/>
        <v>910.62130615122123</v>
      </c>
      <c r="L166" s="1">
        <f t="shared" ca="1" si="109"/>
        <v>576.5604927055083</v>
      </c>
      <c r="M166" s="1">
        <f t="shared" ca="1" si="109"/>
        <v>31842.656286349389</v>
      </c>
      <c r="N166" s="1">
        <f t="shared" ca="1" si="109"/>
        <v>2069.1891813816119</v>
      </c>
      <c r="O166" s="1">
        <f t="shared" ca="1" si="109"/>
        <v>4099.8497297619215</v>
      </c>
    </row>
    <row r="167" spans="1:15" x14ac:dyDescent="0.25">
      <c r="A167" t="s">
        <v>148</v>
      </c>
      <c r="F167" s="33">
        <f>0</f>
        <v>0</v>
      </c>
      <c r="G167" s="33">
        <f>0</f>
        <v>0</v>
      </c>
      <c r="H167" s="33">
        <f>0</f>
        <v>0</v>
      </c>
      <c r="I167" s="33">
        <f>0</f>
        <v>0</v>
      </c>
      <c r="J167" s="33">
        <f>0</f>
        <v>0</v>
      </c>
      <c r="K167" s="33">
        <f>0</f>
        <v>0</v>
      </c>
      <c r="L167" s="33">
        <f>0</f>
        <v>0</v>
      </c>
      <c r="M167" s="33">
        <f>0</f>
        <v>0</v>
      </c>
      <c r="N167" s="33">
        <f>0</f>
        <v>0</v>
      </c>
      <c r="O167" s="33">
        <f>0</f>
        <v>0</v>
      </c>
    </row>
    <row r="168" spans="1:15" x14ac:dyDescent="0.25">
      <c r="A168" s="2" t="s">
        <v>149</v>
      </c>
      <c r="F168" s="27">
        <f ca="1">F166+F167</f>
        <v>0</v>
      </c>
      <c r="G168" s="27">
        <f ca="1">F168+G166+G167</f>
        <v>0</v>
      </c>
      <c r="H168" s="27">
        <f t="shared" ref="H168:O168" ca="1" si="110">G168+H166+H167</f>
        <v>0</v>
      </c>
      <c r="I168" s="27">
        <f t="shared" ca="1" si="110"/>
        <v>1270.8103609383975</v>
      </c>
      <c r="J168" s="27">
        <f t="shared" ca="1" si="110"/>
        <v>2437.1124056872577</v>
      </c>
      <c r="K168" s="27">
        <f t="shared" ca="1" si="110"/>
        <v>3347.7337118384789</v>
      </c>
      <c r="L168" s="27">
        <f t="shared" ca="1" si="110"/>
        <v>3924.2942045439872</v>
      </c>
      <c r="M168" s="27">
        <f t="shared" ca="1" si="110"/>
        <v>35766.950490893374</v>
      </c>
      <c r="N168" s="27">
        <f t="shared" ca="1" si="110"/>
        <v>37836.139672274985</v>
      </c>
      <c r="O168" s="27">
        <f t="shared" ca="1" si="110"/>
        <v>41935.98940203691</v>
      </c>
    </row>
    <row r="169" spans="1:15" x14ac:dyDescent="0.25">
      <c r="A169" t="s">
        <v>150</v>
      </c>
      <c r="F169" s="27">
        <f ca="1">-F168*F130</f>
        <v>0</v>
      </c>
      <c r="G169" s="27">
        <f t="shared" ref="G169:O169" ca="1" si="111">-G168*G130</f>
        <v>0</v>
      </c>
      <c r="H169" s="27">
        <f t="shared" ca="1" si="111"/>
        <v>0</v>
      </c>
      <c r="I169" s="27">
        <f t="shared" ca="1" si="111"/>
        <v>-76.24862165630384</v>
      </c>
      <c r="J169" s="27">
        <f t="shared" ca="1" si="111"/>
        <v>-146.22674434123545</v>
      </c>
      <c r="K169" s="27">
        <f t="shared" ca="1" si="111"/>
        <v>-200.86402271030872</v>
      </c>
      <c r="L169" s="27">
        <f t="shared" ca="1" si="111"/>
        <v>-235.45765227263922</v>
      </c>
      <c r="M169" s="27">
        <f t="shared" ca="1" si="111"/>
        <v>-2146.0170294536024</v>
      </c>
      <c r="N169" s="27">
        <f t="shared" ca="1" si="111"/>
        <v>-2270.168380336499</v>
      </c>
      <c r="O169" s="27">
        <f t="shared" ca="1" si="111"/>
        <v>-2516.1593641222144</v>
      </c>
    </row>
    <row r="170" spans="1:15" x14ac:dyDescent="0.25">
      <c r="F170" s="1"/>
    </row>
    <row r="172" spans="1:15" ht="15.75" x14ac:dyDescent="0.25">
      <c r="A172" s="8" t="s">
        <v>151</v>
      </c>
      <c r="B172" s="4"/>
      <c r="C172" s="4"/>
      <c r="D172" s="4"/>
      <c r="E172" s="4"/>
      <c r="F172" s="4"/>
      <c r="G172" s="4"/>
    </row>
    <row r="173" spans="1:15" x14ac:dyDescent="0.25">
      <c r="A173" t="s">
        <v>14</v>
      </c>
      <c r="B173" s="37" t="s">
        <v>190</v>
      </c>
      <c r="C173" s="37" t="s">
        <v>173</v>
      </c>
      <c r="D173" s="37" t="s">
        <v>174</v>
      </c>
      <c r="E173" s="37"/>
      <c r="F173" s="38" t="s">
        <v>189</v>
      </c>
      <c r="G173" s="38" t="s">
        <v>175</v>
      </c>
      <c r="H173" s="38" t="s">
        <v>176</v>
      </c>
      <c r="I173" s="38" t="s">
        <v>177</v>
      </c>
      <c r="J173" s="38" t="s">
        <v>178</v>
      </c>
      <c r="K173" s="38" t="s">
        <v>179</v>
      </c>
      <c r="L173" s="38" t="s">
        <v>180</v>
      </c>
      <c r="M173" s="38" t="s">
        <v>181</v>
      </c>
      <c r="N173" s="38" t="s">
        <v>182</v>
      </c>
      <c r="O173" s="38" t="s">
        <v>183</v>
      </c>
    </row>
    <row r="174" spans="1:15" x14ac:dyDescent="0.25">
      <c r="A174" t="s">
        <v>152</v>
      </c>
      <c r="C174" s="27">
        <f>B179</f>
        <v>2704.46</v>
      </c>
      <c r="D174" s="27">
        <f>C179</f>
        <v>3553.4300000000003</v>
      </c>
      <c r="F174" s="27">
        <f ca="1">E179</f>
        <v>15903.286512158054</v>
      </c>
      <c r="G174" s="27">
        <f ca="1">F179</f>
        <v>16301.13114185319</v>
      </c>
      <c r="H174" s="27">
        <f t="shared" ref="H174:O174" ca="1" si="112">G179</f>
        <v>16903.306985801228</v>
      </c>
      <c r="I174" s="27">
        <f t="shared" ca="1" si="112"/>
        <v>17936.469379900867</v>
      </c>
      <c r="J174" s="27">
        <f t="shared" ca="1" si="112"/>
        <v>19185.249416016955</v>
      </c>
      <c r="K174" s="27">
        <f t="shared" ca="1" si="112"/>
        <v>20857.639335328502</v>
      </c>
      <c r="L174" s="27">
        <f t="shared" ca="1" si="112"/>
        <v>22972.377515929278</v>
      </c>
      <c r="M174" s="27">
        <f t="shared" ca="1" si="112"/>
        <v>25542.60828773199</v>
      </c>
      <c r="N174" s="27">
        <f t="shared" ca="1" si="112"/>
        <v>27260.944316320631</v>
      </c>
      <c r="O174" s="27">
        <f t="shared" ca="1" si="112"/>
        <v>30581.28508857117</v>
      </c>
    </row>
    <row r="175" spans="1:15" x14ac:dyDescent="0.25">
      <c r="A175" t="s">
        <v>25</v>
      </c>
      <c r="C175" s="27">
        <f>C33</f>
        <v>1174.97</v>
      </c>
      <c r="D175" s="27">
        <f>D33</f>
        <v>2201.7899999999995</v>
      </c>
      <c r="F175" s="27">
        <f t="shared" ref="F175:O175" ca="1" si="113">F33</f>
        <v>397.84462969513595</v>
      </c>
      <c r="G175" s="27">
        <f t="shared" ca="1" si="113"/>
        <v>602.17584394803725</v>
      </c>
      <c r="H175" s="27">
        <f t="shared" ca="1" si="113"/>
        <v>1033.1623940996387</v>
      </c>
      <c r="I175" s="27">
        <f t="shared" ca="1" si="113"/>
        <v>1248.7800361160871</v>
      </c>
      <c r="J175" s="27">
        <f t="shared" ca="1" si="113"/>
        <v>1672.3899193115481</v>
      </c>
      <c r="K175" s="27">
        <f t="shared" ca="1" si="113"/>
        <v>2114.7381806007756</v>
      </c>
      <c r="L175" s="27">
        <f t="shared" ca="1" si="113"/>
        <v>2570.2307718027105</v>
      </c>
      <c r="M175" s="27">
        <f t="shared" ca="1" si="113"/>
        <v>1718.3360285886401</v>
      </c>
      <c r="N175" s="27">
        <f t="shared" ca="1" si="113"/>
        <v>3320.3407722505813</v>
      </c>
      <c r="O175" s="27">
        <f t="shared" ca="1" si="113"/>
        <v>3616.5442456814362</v>
      </c>
    </row>
    <row r="176" spans="1:15" x14ac:dyDescent="0.25">
      <c r="A176" t="s">
        <v>153</v>
      </c>
      <c r="F176" s="33">
        <v>0</v>
      </c>
      <c r="G176" s="33">
        <v>0</v>
      </c>
      <c r="H176" s="33">
        <v>0</v>
      </c>
      <c r="I176" s="33">
        <v>0</v>
      </c>
      <c r="J176" s="33">
        <v>0</v>
      </c>
      <c r="K176" s="33">
        <v>0</v>
      </c>
      <c r="L176" s="33">
        <v>0</v>
      </c>
      <c r="M176" s="33">
        <v>0</v>
      </c>
      <c r="N176" s="33">
        <v>0</v>
      </c>
      <c r="O176" s="33">
        <v>0</v>
      </c>
    </row>
    <row r="177" spans="1:15" x14ac:dyDescent="0.25">
      <c r="A177" t="s">
        <v>108</v>
      </c>
      <c r="C177" s="1">
        <v>-326</v>
      </c>
      <c r="D177" s="1">
        <v>-429</v>
      </c>
      <c r="F177" s="33">
        <v>0</v>
      </c>
      <c r="G177" s="33">
        <v>0</v>
      </c>
      <c r="H177" s="33">
        <v>0</v>
      </c>
      <c r="I177" s="33">
        <v>0</v>
      </c>
      <c r="J177" s="33">
        <v>0</v>
      </c>
      <c r="K177" s="33">
        <v>0</v>
      </c>
      <c r="L177" s="33">
        <v>0</v>
      </c>
      <c r="M177" s="33">
        <v>0</v>
      </c>
      <c r="N177" s="33">
        <v>0</v>
      </c>
      <c r="O177" s="33">
        <v>0</v>
      </c>
    </row>
    <row r="178" spans="1:15" x14ac:dyDescent="0.25">
      <c r="A178" t="s">
        <v>154</v>
      </c>
      <c r="F178" s="33">
        <v>0</v>
      </c>
      <c r="G178" s="33">
        <v>0</v>
      </c>
      <c r="H178" s="33">
        <v>0</v>
      </c>
      <c r="I178" s="33">
        <v>0</v>
      </c>
      <c r="J178" s="33">
        <v>0</v>
      </c>
      <c r="K178" s="33">
        <v>0</v>
      </c>
      <c r="L178" s="33">
        <v>0</v>
      </c>
      <c r="M178" s="33">
        <v>0</v>
      </c>
      <c r="N178" s="33">
        <v>0</v>
      </c>
      <c r="O178" s="33">
        <v>0</v>
      </c>
    </row>
    <row r="179" spans="1:15" s="2" customFormat="1" x14ac:dyDescent="0.25">
      <c r="A179" s="2" t="s">
        <v>155</v>
      </c>
      <c r="B179" s="20">
        <v>2704.46</v>
      </c>
      <c r="C179" s="20">
        <f>SUM(C174:C178)</f>
        <v>3553.4300000000003</v>
      </c>
      <c r="D179" s="20">
        <f>SUM(D174:D178)</f>
        <v>5326.2199999999993</v>
      </c>
      <c r="E179" s="20">
        <f ca="1">'LBO VALUATION DRIVERS'!E77</f>
        <v>15903.286512158054</v>
      </c>
      <c r="F179" s="30">
        <f ca="1">SUM(F174:F178)</f>
        <v>16301.13114185319</v>
      </c>
      <c r="G179" s="30">
        <f t="shared" ref="G179:O179" ca="1" si="114">SUM(G174:G178)</f>
        <v>16903.306985801228</v>
      </c>
      <c r="H179" s="30">
        <f t="shared" ca="1" si="114"/>
        <v>17936.469379900867</v>
      </c>
      <c r="I179" s="30">
        <f t="shared" ca="1" si="114"/>
        <v>19185.249416016955</v>
      </c>
      <c r="J179" s="30">
        <f t="shared" ca="1" si="114"/>
        <v>20857.639335328502</v>
      </c>
      <c r="K179" s="30">
        <f t="shared" ca="1" si="114"/>
        <v>22972.377515929278</v>
      </c>
      <c r="L179" s="30">
        <f t="shared" ca="1" si="114"/>
        <v>25542.60828773199</v>
      </c>
      <c r="M179" s="30">
        <f t="shared" ca="1" si="114"/>
        <v>27260.944316320631</v>
      </c>
      <c r="N179" s="30">
        <f t="shared" ca="1" si="114"/>
        <v>30581.285088571211</v>
      </c>
      <c r="O179" s="30">
        <f t="shared" ca="1" si="114"/>
        <v>34197.829334252609</v>
      </c>
    </row>
    <row r="182" spans="1:15" ht="15.75" x14ac:dyDescent="0.25">
      <c r="A182" s="8" t="s">
        <v>156</v>
      </c>
      <c r="B182" s="4"/>
      <c r="C182" s="4"/>
      <c r="D182" s="18"/>
      <c r="E182" s="18"/>
      <c r="F182" s="4"/>
      <c r="G182" s="4"/>
    </row>
    <row r="183" spans="1:15" x14ac:dyDescent="0.25">
      <c r="A183" t="s">
        <v>157</v>
      </c>
      <c r="B183" s="27">
        <f>O27</f>
        <v>19031.639209211098</v>
      </c>
    </row>
    <row r="184" spans="1:15" x14ac:dyDescent="0.25">
      <c r="A184" t="s">
        <v>158</v>
      </c>
      <c r="B184" s="25">
        <f>'LBO VALUATION DRIVERS'!B10</f>
        <v>25.240779700077283</v>
      </c>
    </row>
    <row r="185" spans="1:15" x14ac:dyDescent="0.25">
      <c r="A185" t="s">
        <v>159</v>
      </c>
      <c r="B185" s="27">
        <f>B183*B184</f>
        <v>480373.41261105036</v>
      </c>
    </row>
    <row r="186" spans="1:15" x14ac:dyDescent="0.25">
      <c r="A186" t="s">
        <v>82</v>
      </c>
      <c r="B186" s="27">
        <f ca="1">O38</f>
        <v>1999.9999993234705</v>
      </c>
    </row>
    <row r="187" spans="1:15" x14ac:dyDescent="0.25">
      <c r="A187" t="s">
        <v>160</v>
      </c>
      <c r="B187" s="27">
        <f ca="1">-O53</f>
        <v>-41935.989401993233</v>
      </c>
    </row>
    <row r="188" spans="1:15" s="2" customFormat="1" x14ac:dyDescent="0.25">
      <c r="A188" s="2" t="s">
        <v>161</v>
      </c>
      <c r="B188" s="30">
        <f ca="1">SUM(B185:B187)</f>
        <v>440437.42320838058</v>
      </c>
    </row>
    <row r="191" spans="1:15" x14ac:dyDescent="0.25">
      <c r="A191" t="s">
        <v>14</v>
      </c>
      <c r="C191" s="37" t="s">
        <v>162</v>
      </c>
      <c r="E191" t="s">
        <v>95</v>
      </c>
      <c r="F191" s="38" t="s">
        <v>175</v>
      </c>
      <c r="G191" s="38" t="s">
        <v>176</v>
      </c>
      <c r="H191" s="38" t="s">
        <v>177</v>
      </c>
      <c r="I191" s="38" t="s">
        <v>178</v>
      </c>
      <c r="J191" s="38" t="s">
        <v>179</v>
      </c>
      <c r="K191" s="38" t="s">
        <v>180</v>
      </c>
      <c r="L191" s="38" t="s">
        <v>181</v>
      </c>
      <c r="M191" s="38" t="s">
        <v>182</v>
      </c>
      <c r="N191" s="38" t="s">
        <v>183</v>
      </c>
      <c r="O191" s="38" t="s">
        <v>184</v>
      </c>
    </row>
    <row r="192" spans="1:15" x14ac:dyDescent="0.25">
      <c r="A192" t="s">
        <v>163</v>
      </c>
      <c r="C192" s="51">
        <f ca="1">IRR(E192:O192)</f>
        <v>0.39392604560394995</v>
      </c>
      <c r="E192" s="1">
        <f ca="1">-'LBO VALUATION DRIVERS'!B54</f>
        <v>-15903.286512158054</v>
      </c>
      <c r="F192" s="33">
        <v>0</v>
      </c>
      <c r="G192" s="33">
        <v>0</v>
      </c>
      <c r="H192" s="33">
        <v>0</v>
      </c>
      <c r="I192" s="33">
        <v>0</v>
      </c>
      <c r="J192" s="33">
        <v>0</v>
      </c>
      <c r="K192" s="33">
        <v>0</v>
      </c>
      <c r="L192" s="33">
        <v>0</v>
      </c>
      <c r="M192" s="33">
        <v>0</v>
      </c>
      <c r="N192" s="33">
        <v>0</v>
      </c>
      <c r="O192" s="27">
        <f ca="1">B188</f>
        <v>440437.42320838058</v>
      </c>
    </row>
    <row r="193" spans="1:15" x14ac:dyDescent="0.25">
      <c r="A193" t="s">
        <v>62</v>
      </c>
      <c r="C193" s="11">
        <f ca="1">IRR(E193:M193)</f>
        <v>6.1124299833575924E-2</v>
      </c>
      <c r="E193" s="1">
        <f ca="1">-('LBO VALUATION DRIVERS'!B51+'LBO VALUATION DRIVERS'!D42)</f>
        <v>-29460.414977203647</v>
      </c>
      <c r="F193" s="27">
        <f ca="1">-F143</f>
        <v>1510.7905116514692</v>
      </c>
      <c r="G193" s="27">
        <f t="shared" ref="G193:O193" ca="1" si="115">-G143</f>
        <v>1661.8695628166158</v>
      </c>
      <c r="H193" s="27">
        <f t="shared" ca="1" si="115"/>
        <v>1661.8695628166158</v>
      </c>
      <c r="I193" s="27">
        <f t="shared" ca="1" si="115"/>
        <v>1812.9486139817627</v>
      </c>
      <c r="J193" s="27">
        <f t="shared" ca="1" si="115"/>
        <v>1812.9486139817627</v>
      </c>
      <c r="K193" s="27">
        <f t="shared" ca="1" si="115"/>
        <v>1812.9486139817627</v>
      </c>
      <c r="L193" s="27">
        <f t="shared" ca="1" si="115"/>
        <v>1812.9486139817627</v>
      </c>
      <c r="M193" s="27">
        <f ca="1">-(M143+M141)</f>
        <v>32028.758847011144</v>
      </c>
      <c r="N193" s="27">
        <f t="shared" ca="1" si="115"/>
        <v>0</v>
      </c>
      <c r="O193" s="27">
        <f t="shared" ca="1" si="115"/>
        <v>0</v>
      </c>
    </row>
    <row r="194" spans="1:15" x14ac:dyDescent="0.25">
      <c r="A194" t="s">
        <v>65</v>
      </c>
      <c r="C194" s="11">
        <f>IRR(E194:N194)</f>
        <v>6.6379760947853805E-2</v>
      </c>
      <c r="E194" s="1">
        <f>-('LBO VALUATION DRIVERS'!B52+'LBO VALUATION DRIVERS'!D43)</f>
        <v>-17682.486250000002</v>
      </c>
      <c r="F194" s="27">
        <f>-F146-F148</f>
        <v>2803.8725000000004</v>
      </c>
      <c r="G194" s="27">
        <f t="shared" ref="G194:O194" si="116">-G146-G148</f>
        <v>2785.7830000000004</v>
      </c>
      <c r="H194" s="27">
        <f t="shared" si="116"/>
        <v>2677.2460000000001</v>
      </c>
      <c r="I194" s="27">
        <f t="shared" si="116"/>
        <v>2632.02225</v>
      </c>
      <c r="J194" s="27">
        <f t="shared" si="116"/>
        <v>2514.4404999999997</v>
      </c>
      <c r="K194" s="27">
        <f t="shared" si="116"/>
        <v>2396.8587499999999</v>
      </c>
      <c r="L194" s="27">
        <f t="shared" si="116"/>
        <v>2279.277</v>
      </c>
      <c r="M194" s="27">
        <f t="shared" si="116"/>
        <v>2161.6952499999998</v>
      </c>
      <c r="N194" s="27">
        <f>-N146-N148</f>
        <v>3853.0634999999997</v>
      </c>
      <c r="O194" s="27">
        <f t="shared" si="116"/>
        <v>0</v>
      </c>
    </row>
    <row r="195" spans="1:15" x14ac:dyDescent="0.25">
      <c r="A195" t="s">
        <v>66</v>
      </c>
      <c r="C195" s="11">
        <f ca="1">IRR(E195:O195)</f>
        <v>7.0505791023386832E-2</v>
      </c>
      <c r="E195" s="1">
        <f ca="1">-('LBO VALUATION DRIVERS'!B53+'LBO VALUATION DRIVERS'!D44)</f>
        <v>-11104.310260638296</v>
      </c>
      <c r="F195" s="27">
        <f ca="1">-F151-F153</f>
        <v>1246.4021721124618</v>
      </c>
      <c r="G195" s="27">
        <f t="shared" ref="G195:O195" ca="1" si="117">-G151-G153</f>
        <v>1266.2312975778873</v>
      </c>
      <c r="H195" s="27">
        <f t="shared" ca="1" si="117"/>
        <v>1229.4057788563828</v>
      </c>
      <c r="I195" s="27">
        <f t="shared" ca="1" si="117"/>
        <v>1240.7367076937689</v>
      </c>
      <c r="J195" s="27">
        <f t="shared" ca="1" si="117"/>
        <v>1201.0784567629178</v>
      </c>
      <c r="K195" s="27">
        <f t="shared" ca="1" si="117"/>
        <v>1161.4202058320666</v>
      </c>
      <c r="L195" s="27">
        <f t="shared" ca="1" si="117"/>
        <v>1121.7619549012156</v>
      </c>
      <c r="M195" s="27">
        <f t="shared" ca="1" si="117"/>
        <v>1082.1037039703647</v>
      </c>
      <c r="N195" s="27">
        <f t="shared" ca="1" si="117"/>
        <v>1042.4454530395135</v>
      </c>
      <c r="O195" s="27">
        <f t="shared" ca="1" si="117"/>
        <v>6668.2516208016696</v>
      </c>
    </row>
    <row r="198" spans="1:15" ht="15.75" x14ac:dyDescent="0.25">
      <c r="A198" s="8" t="s">
        <v>167</v>
      </c>
      <c r="B198" s="4"/>
      <c r="C198" s="4"/>
      <c r="D198" s="58" t="s">
        <v>172</v>
      </c>
      <c r="E198" s="58"/>
      <c r="F198" s="58"/>
      <c r="G198" s="58"/>
      <c r="H198" s="58"/>
    </row>
    <row r="199" spans="1:15" x14ac:dyDescent="0.25">
      <c r="A199" t="s">
        <v>170</v>
      </c>
      <c r="B199" s="51">
        <f ca="1">C192</f>
        <v>0.39392604560394995</v>
      </c>
      <c r="C199" s="11">
        <v>0.14000000000000001</v>
      </c>
      <c r="D199" s="11">
        <v>0.16</v>
      </c>
      <c r="E199" s="52">
        <v>0.18</v>
      </c>
      <c r="F199" s="11">
        <v>0.2</v>
      </c>
      <c r="G199" s="11">
        <v>0.22</v>
      </c>
      <c r="H199" s="34">
        <v>0.24</v>
      </c>
      <c r="I199" s="34">
        <v>0.26</v>
      </c>
      <c r="J199" s="34">
        <v>0.28000000000000003</v>
      </c>
    </row>
    <row r="200" spans="1:15" x14ac:dyDescent="0.25">
      <c r="A200" s="57" t="s">
        <v>171</v>
      </c>
      <c r="B200" s="53">
        <f>B184</f>
        <v>25.240779700077283</v>
      </c>
      <c r="C200" s="12">
        <f t="dataTable" ref="C200:J201" dt2D="1" dtr="1" r1="F4" r2="B184" ca="1"/>
        <v>0.38825948595124427</v>
      </c>
      <c r="D200" s="12">
        <v>0.39111873212302184</v>
      </c>
      <c r="E200" s="51">
        <v>0.39392604571010348</v>
      </c>
      <c r="F200" s="55">
        <v>0.39668337900066497</v>
      </c>
      <c r="G200" s="12">
        <v>0.3993925741470814</v>
      </c>
      <c r="H200" s="12">
        <v>0.40205537163777216</v>
      </c>
      <c r="I200" s="12">
        <v>0.40467341770180565</v>
      </c>
      <c r="J200" s="12">
        <v>0.40724827104831429</v>
      </c>
    </row>
    <row r="201" spans="1:15" x14ac:dyDescent="0.25">
      <c r="A201" s="57"/>
      <c r="B201" s="35">
        <v>27</v>
      </c>
      <c r="C201" s="12">
        <v>0.39853004392266711</v>
      </c>
      <c r="D201" s="12">
        <v>0.40137879357071449</v>
      </c>
      <c r="E201" s="12">
        <v>0.40417635866805179</v>
      </c>
      <c r="F201" s="12">
        <v>0.40692464291133401</v>
      </c>
      <c r="G201" s="12">
        <v>0.4096254438619058</v>
      </c>
      <c r="H201" s="12">
        <v>0.41228046088613612</v>
      </c>
      <c r="I201" s="12">
        <v>0.41489130223602477</v>
      </c>
      <c r="J201" s="12">
        <v>0.41745949149995143</v>
      </c>
    </row>
    <row r="202" spans="1:15" x14ac:dyDescent="0.25">
      <c r="B202" s="35"/>
      <c r="C202" s="12"/>
      <c r="D202" s="12"/>
      <c r="E202" s="12"/>
      <c r="F202" s="12"/>
      <c r="G202" s="12"/>
    </row>
    <row r="203" spans="1:15" x14ac:dyDescent="0.25">
      <c r="B203" s="35"/>
      <c r="C203" s="12"/>
      <c r="D203" s="12"/>
      <c r="E203" s="12"/>
      <c r="F203" s="12"/>
      <c r="G203" s="12"/>
    </row>
    <row r="204" spans="1:15" x14ac:dyDescent="0.25">
      <c r="B204" s="35"/>
      <c r="C204" s="12"/>
      <c r="D204" s="36"/>
      <c r="E204" s="12"/>
      <c r="F204" s="12"/>
      <c r="G204" s="12"/>
      <c r="K204" s="34"/>
    </row>
  </sheetData>
  <sortState columnSort="1" ref="B72:D74">
    <sortCondition ref="B72:D72"/>
  </sortState>
  <mergeCells count="2">
    <mergeCell ref="A200:A201"/>
    <mergeCell ref="D198:H19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LBO VALUATION DRIVERS</vt:lpstr>
      <vt:lpstr>LBO VALUATION 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2024-10-05T15:35:24Z</dcterms:created>
  <dcterms:modified xsi:type="dcterms:W3CDTF">2024-11-20T11:04:42Z</dcterms:modified>
</cp:coreProperties>
</file>