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HP\Desktop\LBO\"/>
    </mc:Choice>
  </mc:AlternateContent>
  <bookViews>
    <workbookView xWindow="-120" yWindow="-120" windowWidth="29040" windowHeight="16440" tabRatio="798" activeTab="1"/>
  </bookViews>
  <sheets>
    <sheet name="Intro" sheetId="16" r:id="rId1"/>
    <sheet name="Sheet1" sheetId="32" r:id="rId2"/>
  </sheets>
  <calcPr calcId="152511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0" i="32" l="1"/>
  <c r="W118" i="32" l="1"/>
  <c r="V118" i="32"/>
  <c r="U118" i="32"/>
  <c r="T118" i="32"/>
  <c r="S118" i="32"/>
  <c r="R118" i="32"/>
  <c r="Q118" i="32"/>
  <c r="P118" i="32"/>
  <c r="O118" i="32"/>
  <c r="N118" i="32"/>
  <c r="J222" i="32" l="1"/>
  <c r="J203" i="32"/>
  <c r="J221" i="32"/>
  <c r="J218" i="32"/>
  <c r="J219" i="32"/>
  <c r="J220" i="32"/>
  <c r="M59" i="32" l="1"/>
  <c r="L59" i="32"/>
  <c r="K59" i="32"/>
  <c r="J59" i="32"/>
  <c r="O3" i="32"/>
  <c r="P3" i="32" s="1"/>
  <c r="Q3" i="32" s="1"/>
  <c r="R3" i="32" s="1"/>
  <c r="S3" i="32" s="1"/>
  <c r="T3" i="32" s="1"/>
  <c r="U3" i="32" s="1"/>
  <c r="V3" i="32" s="1"/>
  <c r="W3" i="32" s="1"/>
  <c r="M57" i="32"/>
  <c r="L57" i="32"/>
  <c r="K57" i="32"/>
  <c r="J57" i="32"/>
  <c r="M47" i="32"/>
  <c r="L47" i="32"/>
  <c r="K47" i="32"/>
  <c r="J47" i="32"/>
  <c r="N182" i="32"/>
  <c r="W178" i="32"/>
  <c r="V178" i="32"/>
  <c r="U178" i="32"/>
  <c r="T178" i="32"/>
  <c r="S178" i="32"/>
  <c r="R178" i="32"/>
  <c r="Q178" i="32"/>
  <c r="P178" i="32"/>
  <c r="O178" i="32"/>
  <c r="N178" i="32"/>
  <c r="W78" i="32"/>
  <c r="V78" i="32"/>
  <c r="U78" i="32"/>
  <c r="T78" i="32"/>
  <c r="S78" i="32"/>
  <c r="R78" i="32"/>
  <c r="Q78" i="32"/>
  <c r="P78" i="32"/>
  <c r="O78" i="32"/>
  <c r="N78" i="32"/>
  <c r="W65" i="32"/>
  <c r="V65" i="32"/>
  <c r="U65" i="32"/>
  <c r="T65" i="32"/>
  <c r="S65" i="32"/>
  <c r="R65" i="32"/>
  <c r="Q65" i="32"/>
  <c r="P65" i="32"/>
  <c r="O65" i="32"/>
  <c r="N65" i="32"/>
  <c r="W149" i="32" l="1"/>
  <c r="V149" i="32"/>
  <c r="U149" i="32"/>
  <c r="T149" i="32"/>
  <c r="S149" i="32"/>
  <c r="R149" i="32"/>
  <c r="Q149" i="32"/>
  <c r="P149" i="32"/>
  <c r="O149" i="32"/>
  <c r="N149" i="32"/>
  <c r="W148" i="32"/>
  <c r="V148" i="32"/>
  <c r="U148" i="32"/>
  <c r="T148" i="32"/>
  <c r="S148" i="32"/>
  <c r="R148" i="32"/>
  <c r="Q148" i="32"/>
  <c r="P148" i="32"/>
  <c r="O148" i="32"/>
  <c r="N148" i="32"/>
  <c r="W147" i="32"/>
  <c r="V147" i="32"/>
  <c r="U147" i="32"/>
  <c r="T147" i="32"/>
  <c r="S147" i="32"/>
  <c r="R147" i="32"/>
  <c r="Q147" i="32"/>
  <c r="P147" i="32"/>
  <c r="P167" i="32" s="1"/>
  <c r="P213" i="32" s="1"/>
  <c r="O147" i="32"/>
  <c r="N147" i="32"/>
  <c r="W146" i="32"/>
  <c r="V146" i="32"/>
  <c r="U146" i="32"/>
  <c r="T146" i="32"/>
  <c r="S146" i="32"/>
  <c r="R146" i="32"/>
  <c r="Q146" i="32"/>
  <c r="P146" i="32"/>
  <c r="P162" i="32" s="1"/>
  <c r="O146" i="32"/>
  <c r="N146" i="32"/>
  <c r="M214" i="32"/>
  <c r="M213" i="32"/>
  <c r="U162" i="32"/>
  <c r="M212" i="32"/>
  <c r="M211" i="32"/>
  <c r="N193" i="32"/>
  <c r="M198" i="32"/>
  <c r="P169" i="32"/>
  <c r="P171" i="32" s="1"/>
  <c r="Q169" i="32" s="1"/>
  <c r="O171" i="32"/>
  <c r="O169" i="32"/>
  <c r="N171" i="32"/>
  <c r="V170" i="32"/>
  <c r="U170" i="32"/>
  <c r="T170" i="32"/>
  <c r="S170" i="32"/>
  <c r="R170" i="32"/>
  <c r="Q170" i="32"/>
  <c r="P170" i="32"/>
  <c r="O170" i="32"/>
  <c r="N170" i="32"/>
  <c r="W166" i="32"/>
  <c r="P166" i="32"/>
  <c r="Q164" i="32" s="1"/>
  <c r="O166" i="32"/>
  <c r="U165" i="32"/>
  <c r="T165" i="32"/>
  <c r="S165" i="32"/>
  <c r="R165" i="32"/>
  <c r="Q165" i="32"/>
  <c r="P165" i="32"/>
  <c r="O165" i="32"/>
  <c r="N165" i="32"/>
  <c r="N166" i="32"/>
  <c r="O164" i="32" s="1"/>
  <c r="O167" i="32" s="1"/>
  <c r="O213" i="32" s="1"/>
  <c r="P159" i="32"/>
  <c r="O159" i="32"/>
  <c r="P164" i="32"/>
  <c r="W161" i="32"/>
  <c r="V161" i="32"/>
  <c r="O161" i="32"/>
  <c r="N161" i="32"/>
  <c r="P160" i="32"/>
  <c r="P161" i="32" s="1"/>
  <c r="Q159" i="32" s="1"/>
  <c r="O160" i="32"/>
  <c r="N160" i="32"/>
  <c r="W172" i="32"/>
  <c r="W214" i="32" s="1"/>
  <c r="P172" i="32"/>
  <c r="P214" i="32" s="1"/>
  <c r="O172" i="32"/>
  <c r="O214" i="32" s="1"/>
  <c r="N172" i="32"/>
  <c r="N214" i="32" s="1"/>
  <c r="W167" i="32"/>
  <c r="N167" i="32"/>
  <c r="N213" i="32" s="1"/>
  <c r="O162" i="32"/>
  <c r="O212" i="32" s="1"/>
  <c r="N162" i="32"/>
  <c r="N212" i="32" s="1"/>
  <c r="P212" i="32" l="1"/>
  <c r="U212" i="32"/>
  <c r="Q171" i="32"/>
  <c r="R169" i="32" s="1"/>
  <c r="Q172" i="32"/>
  <c r="Q214" i="32" s="1"/>
  <c r="Q166" i="32"/>
  <c r="R164" i="32" s="1"/>
  <c r="Q167" i="32"/>
  <c r="Q213" i="32" s="1"/>
  <c r="Q160" i="32"/>
  <c r="Q162" i="32"/>
  <c r="Q161" i="32"/>
  <c r="R159" i="32" s="1"/>
  <c r="W44" i="32"/>
  <c r="V44" i="32"/>
  <c r="U44" i="32"/>
  <c r="T44" i="32"/>
  <c r="S44" i="32"/>
  <c r="R44" i="32"/>
  <c r="Q44" i="32"/>
  <c r="P44" i="32"/>
  <c r="O44" i="32"/>
  <c r="N44" i="32"/>
  <c r="P42" i="32"/>
  <c r="Q42" i="32" s="1"/>
  <c r="R42" i="32" s="1"/>
  <c r="S42" i="32" s="1"/>
  <c r="T42" i="32" s="1"/>
  <c r="U42" i="32" s="1"/>
  <c r="V42" i="32" s="1"/>
  <c r="W42" i="32" s="1"/>
  <c r="O42" i="32"/>
  <c r="N42" i="32"/>
  <c r="W27" i="32"/>
  <c r="V27" i="32"/>
  <c r="U27" i="32"/>
  <c r="T27" i="32"/>
  <c r="S27" i="32"/>
  <c r="R27" i="32"/>
  <c r="Q27" i="32"/>
  <c r="P27" i="32"/>
  <c r="O27" i="32"/>
  <c r="N27" i="32"/>
  <c r="P112" i="32"/>
  <c r="Q112" i="32" s="1"/>
  <c r="R112" i="32" s="1"/>
  <c r="S112" i="32" s="1"/>
  <c r="T112" i="32" s="1"/>
  <c r="U112" i="32" s="1"/>
  <c r="V112" i="32" s="1"/>
  <c r="W112" i="32" s="1"/>
  <c r="O112" i="32"/>
  <c r="N112" i="32"/>
  <c r="Q212" i="32" l="1"/>
  <c r="R172" i="32"/>
  <c r="R214" i="32" s="1"/>
  <c r="R171" i="32"/>
  <c r="S169" i="32" s="1"/>
  <c r="R166" i="32"/>
  <c r="S164" i="32" s="1"/>
  <c r="R167" i="32"/>
  <c r="R213" i="32" s="1"/>
  <c r="R162" i="32"/>
  <c r="R160" i="32"/>
  <c r="R161" i="32"/>
  <c r="S159" i="32" s="1"/>
  <c r="W98" i="32"/>
  <c r="V98" i="32"/>
  <c r="U98" i="32"/>
  <c r="T98" i="32"/>
  <c r="S98" i="32"/>
  <c r="R98" i="32"/>
  <c r="Q98" i="32"/>
  <c r="P98" i="32"/>
  <c r="O98" i="32"/>
  <c r="N98" i="32"/>
  <c r="L98" i="32"/>
  <c r="K98" i="32"/>
  <c r="J98" i="32"/>
  <c r="L32" i="32"/>
  <c r="K32" i="32"/>
  <c r="J32" i="32"/>
  <c r="L30" i="32"/>
  <c r="K30" i="32"/>
  <c r="J30" i="32"/>
  <c r="L28" i="32"/>
  <c r="K28" i="32"/>
  <c r="J28" i="32"/>
  <c r="L26" i="32"/>
  <c r="K26" i="32"/>
  <c r="J26" i="32"/>
  <c r="L25" i="32"/>
  <c r="K25" i="32"/>
  <c r="J25" i="32"/>
  <c r="L24" i="32"/>
  <c r="K24" i="32"/>
  <c r="J24" i="32"/>
  <c r="L23" i="32"/>
  <c r="K23" i="32"/>
  <c r="J23" i="32"/>
  <c r="L22" i="32"/>
  <c r="K22" i="32"/>
  <c r="J22" i="32"/>
  <c r="L21" i="32"/>
  <c r="K21" i="32"/>
  <c r="J21" i="32"/>
  <c r="L20" i="32"/>
  <c r="L8" i="32" s="1"/>
  <c r="K20" i="32"/>
  <c r="K7" i="32" s="1"/>
  <c r="J20" i="32"/>
  <c r="N18" i="32"/>
  <c r="N111" i="32" s="1"/>
  <c r="L12" i="32"/>
  <c r="K12" i="32"/>
  <c r="J12" i="32"/>
  <c r="L11" i="32"/>
  <c r="K11" i="32"/>
  <c r="J11" i="32"/>
  <c r="L10" i="32"/>
  <c r="K10" i="32"/>
  <c r="J10" i="32"/>
  <c r="L9" i="32"/>
  <c r="K9" i="32"/>
  <c r="J9" i="32"/>
  <c r="N6" i="32"/>
  <c r="J8" i="32"/>
  <c r="L7" i="32"/>
  <c r="J7" i="32"/>
  <c r="L6" i="32"/>
  <c r="K6" i="32"/>
  <c r="J6" i="32"/>
  <c r="W5" i="32"/>
  <c r="V5" i="32"/>
  <c r="U5" i="32"/>
  <c r="T5" i="32"/>
  <c r="S5" i="32"/>
  <c r="R5" i="32"/>
  <c r="Q5" i="32"/>
  <c r="P5" i="32"/>
  <c r="O5" i="32"/>
  <c r="N5" i="32"/>
  <c r="W4" i="32"/>
  <c r="V4" i="32"/>
  <c r="U4" i="32"/>
  <c r="T4" i="32"/>
  <c r="S4" i="32"/>
  <c r="R4" i="32"/>
  <c r="Q4" i="32"/>
  <c r="P4" i="32"/>
  <c r="O4" i="32"/>
  <c r="N4" i="32"/>
  <c r="B71" i="32"/>
  <c r="E51" i="32" s="1"/>
  <c r="E54" i="32" s="1"/>
  <c r="B68" i="32"/>
  <c r="D54" i="32"/>
  <c r="E49" i="32"/>
  <c r="E44" i="32"/>
  <c r="B70" i="32"/>
  <c r="D37" i="32"/>
  <c r="D36" i="32"/>
  <c r="D53" i="32"/>
  <c r="D52" i="32"/>
  <c r="D51" i="32"/>
  <c r="D49" i="32"/>
  <c r="D48" i="32"/>
  <c r="D47" i="32"/>
  <c r="D44" i="32"/>
  <c r="B7" i="32"/>
  <c r="B6" i="32"/>
  <c r="B8" i="32" s="1"/>
  <c r="B4" i="32"/>
  <c r="N19" i="32" l="1"/>
  <c r="O18" i="32"/>
  <c r="O111" i="32" s="1"/>
  <c r="O73" i="32" s="1"/>
  <c r="O74" i="32" s="1"/>
  <c r="O177" i="32" s="1"/>
  <c r="N24" i="32"/>
  <c r="N25" i="32" s="1"/>
  <c r="N89" i="32"/>
  <c r="N73" i="32"/>
  <c r="N74" i="32" s="1"/>
  <c r="N177" i="32" s="1"/>
  <c r="N113" i="32"/>
  <c r="N20" i="32"/>
  <c r="N50" i="32"/>
  <c r="N68" i="32" s="1"/>
  <c r="N40" i="32"/>
  <c r="O50" i="32"/>
  <c r="N53" i="32"/>
  <c r="N70" i="32" s="1"/>
  <c r="R212" i="32"/>
  <c r="S172" i="32"/>
  <c r="S214" i="32" s="1"/>
  <c r="S171" i="32"/>
  <c r="T169" i="32" s="1"/>
  <c r="S166" i="32"/>
  <c r="T164" i="32" s="1"/>
  <c r="S167" i="32"/>
  <c r="S213" i="32" s="1"/>
  <c r="S160" i="32"/>
  <c r="S161" i="32"/>
  <c r="T159" i="32" s="1"/>
  <c r="S162" i="32"/>
  <c r="K8" i="32"/>
  <c r="C50" i="32"/>
  <c r="D50" i="32" s="1"/>
  <c r="C46" i="32"/>
  <c r="D46" i="32" s="1"/>
  <c r="C45" i="32"/>
  <c r="D45" i="32" s="1"/>
  <c r="B67" i="32"/>
  <c r="D31" i="32"/>
  <c r="D30" i="32"/>
  <c r="D29" i="32"/>
  <c r="D28" i="32"/>
  <c r="D27" i="32"/>
  <c r="D24" i="32"/>
  <c r="D23" i="32"/>
  <c r="D64" i="32"/>
  <c r="D63" i="32"/>
  <c r="D62" i="32"/>
  <c r="D61" i="32"/>
  <c r="D60" i="32"/>
  <c r="D59" i="32"/>
  <c r="D58" i="32"/>
  <c r="D57" i="32"/>
  <c r="D56" i="32"/>
  <c r="D55" i="32"/>
  <c r="O45" i="32" l="1"/>
  <c r="O40" i="32"/>
  <c r="O89" i="32"/>
  <c r="O38" i="32" s="1"/>
  <c r="O53" i="32"/>
  <c r="O70" i="32" s="1"/>
  <c r="O24" i="32"/>
  <c r="O25" i="32" s="1"/>
  <c r="O68" i="32"/>
  <c r="O19" i="32"/>
  <c r="P18" i="32"/>
  <c r="O20" i="32"/>
  <c r="N38" i="32"/>
  <c r="N21" i="32"/>
  <c r="N91" i="32"/>
  <c r="N49" i="32" s="1"/>
  <c r="N8" i="32" s="1"/>
  <c r="N90" i="32"/>
  <c r="N39" i="32" s="1"/>
  <c r="N7" i="32" s="1"/>
  <c r="O110" i="32"/>
  <c r="O113" i="32" s="1"/>
  <c r="O43" i="32" s="1"/>
  <c r="N43" i="32"/>
  <c r="N22" i="32"/>
  <c r="S212" i="32"/>
  <c r="T171" i="32"/>
  <c r="U169" i="32" s="1"/>
  <c r="T172" i="32"/>
  <c r="T214" i="32" s="1"/>
  <c r="T166" i="32"/>
  <c r="U164" i="32" s="1"/>
  <c r="T167" i="32"/>
  <c r="T213" i="32" s="1"/>
  <c r="T162" i="32"/>
  <c r="T160" i="32"/>
  <c r="T161" i="32" s="1"/>
  <c r="U159" i="32" s="1"/>
  <c r="C54" i="32"/>
  <c r="P110" i="32" l="1"/>
  <c r="O90" i="32"/>
  <c r="O21" i="32"/>
  <c r="O91" i="32"/>
  <c r="O49" i="32" s="1"/>
  <c r="O8" i="32" s="1"/>
  <c r="O22" i="32"/>
  <c r="P89" i="32"/>
  <c r="P38" i="32" s="1"/>
  <c r="P53" i="32"/>
  <c r="P70" i="32" s="1"/>
  <c r="P20" i="32"/>
  <c r="P24" i="32"/>
  <c r="P25" i="32" s="1"/>
  <c r="P45" i="32"/>
  <c r="P69" i="32" s="1"/>
  <c r="Q18" i="32"/>
  <c r="P19" i="32"/>
  <c r="P40" i="32"/>
  <c r="P111" i="32"/>
  <c r="P73" i="32" s="1"/>
  <c r="P74" i="32" s="1"/>
  <c r="P177" i="32" s="1"/>
  <c r="P50" i="32"/>
  <c r="P68" i="32" s="1"/>
  <c r="N92" i="32"/>
  <c r="N66" i="32" s="1"/>
  <c r="N23" i="32"/>
  <c r="N26" i="32"/>
  <c r="N28" i="32" s="1"/>
  <c r="K212" i="32"/>
  <c r="T212" i="32"/>
  <c r="U171" i="32"/>
  <c r="V169" i="32" s="1"/>
  <c r="U172" i="32"/>
  <c r="U214" i="32" s="1"/>
  <c r="U166" i="32"/>
  <c r="V164" i="32" s="1"/>
  <c r="U167" i="32"/>
  <c r="U160" i="32"/>
  <c r="U161" i="32"/>
  <c r="P91" i="32" l="1"/>
  <c r="P49" i="32" s="1"/>
  <c r="P8" i="32" s="1"/>
  <c r="P21" i="32"/>
  <c r="P90" i="32"/>
  <c r="P22" i="32"/>
  <c r="Q111" i="32"/>
  <c r="Q73" i="32" s="1"/>
  <c r="Q74" i="32" s="1"/>
  <c r="Q177" i="32" s="1"/>
  <c r="Q89" i="32"/>
  <c r="Q38" i="32" s="1"/>
  <c r="Q50" i="32"/>
  <c r="Q68" i="32" s="1"/>
  <c r="Q53" i="32"/>
  <c r="Q70" i="32" s="1"/>
  <c r="Q19" i="32"/>
  <c r="R18" i="32"/>
  <c r="Q45" i="32"/>
  <c r="Q69" i="32" s="1"/>
  <c r="Q24" i="32"/>
  <c r="Q25" i="32" s="1"/>
  <c r="Q20" i="32"/>
  <c r="Q40" i="32"/>
  <c r="O39" i="32"/>
  <c r="O7" i="32" s="1"/>
  <c r="O92" i="32"/>
  <c r="O66" i="32" s="1"/>
  <c r="O23" i="32"/>
  <c r="O26" i="32"/>
  <c r="O28" i="32" s="1"/>
  <c r="P113" i="32"/>
  <c r="U213" i="32"/>
  <c r="V172" i="32"/>
  <c r="V214" i="32" s="1"/>
  <c r="K214" i="32" s="1"/>
  <c r="V171" i="32"/>
  <c r="V166" i="32"/>
  <c r="V167" i="32"/>
  <c r="P23" i="32" l="1"/>
  <c r="P26" i="32"/>
  <c r="P28" i="32" s="1"/>
  <c r="P39" i="32"/>
  <c r="P7" i="32" s="1"/>
  <c r="P92" i="32"/>
  <c r="P66" i="32" s="1"/>
  <c r="Q110" i="32"/>
  <c r="Q113" i="32" s="1"/>
  <c r="P43" i="32"/>
  <c r="S18" i="32"/>
  <c r="R20" i="32"/>
  <c r="R53" i="32"/>
  <c r="R70" i="32" s="1"/>
  <c r="R111" i="32"/>
  <c r="R73" i="32" s="1"/>
  <c r="R74" i="32" s="1"/>
  <c r="R177" i="32" s="1"/>
  <c r="R24" i="32"/>
  <c r="R25" i="32" s="1"/>
  <c r="R19" i="32"/>
  <c r="R50" i="32"/>
  <c r="R68" i="32" s="1"/>
  <c r="R40" i="32"/>
  <c r="R45" i="32"/>
  <c r="R69" i="32" s="1"/>
  <c r="R89" i="32"/>
  <c r="R38" i="32" s="1"/>
  <c r="Q22" i="32"/>
  <c r="Q90" i="32"/>
  <c r="Q91" i="32"/>
  <c r="Q49" i="32" s="1"/>
  <c r="Q8" i="32" s="1"/>
  <c r="Q21" i="32"/>
  <c r="V213" i="32"/>
  <c r="K213" i="32" s="1"/>
  <c r="R22" i="32" l="1"/>
  <c r="R91" i="32"/>
  <c r="R49" i="32" s="1"/>
  <c r="R8" i="32" s="1"/>
  <c r="R90" i="32"/>
  <c r="R21" i="32"/>
  <c r="S40" i="32"/>
  <c r="S19" i="32"/>
  <c r="S50" i="32"/>
  <c r="S68" i="32" s="1"/>
  <c r="T18" i="32"/>
  <c r="S45" i="32"/>
  <c r="S69" i="32" s="1"/>
  <c r="S89" i="32"/>
  <c r="S38" i="32" s="1"/>
  <c r="S20" i="32"/>
  <c r="S53" i="32"/>
  <c r="S70" i="32" s="1"/>
  <c r="S111" i="32"/>
  <c r="S73" i="32" s="1"/>
  <c r="S74" i="32" s="1"/>
  <c r="S177" i="32" s="1"/>
  <c r="S24" i="32"/>
  <c r="S25" i="32" s="1"/>
  <c r="Q39" i="32"/>
  <c r="Q7" i="32" s="1"/>
  <c r="Q92" i="32"/>
  <c r="Q66" i="32" s="1"/>
  <c r="Q26" i="32"/>
  <c r="Q28" i="32" s="1"/>
  <c r="Q23" i="32"/>
  <c r="R110" i="32"/>
  <c r="R113" i="32" s="1"/>
  <c r="Q43" i="32"/>
  <c r="U18" i="32" l="1"/>
  <c r="T111" i="32"/>
  <c r="T73" i="32" s="1"/>
  <c r="T74" i="32" s="1"/>
  <c r="T177" i="32" s="1"/>
  <c r="T50" i="32"/>
  <c r="T68" i="32" s="1"/>
  <c r="T89" i="32"/>
  <c r="T38" i="32" s="1"/>
  <c r="T53" i="32"/>
  <c r="T70" i="32" s="1"/>
  <c r="T45" i="32"/>
  <c r="T69" i="32" s="1"/>
  <c r="T24" i="32"/>
  <c r="T25" i="32" s="1"/>
  <c r="T20" i="32"/>
  <c r="T19" i="32"/>
  <c r="T40" i="32"/>
  <c r="S22" i="32"/>
  <c r="S21" i="32"/>
  <c r="S90" i="32"/>
  <c r="S91" i="32"/>
  <c r="S49" i="32" s="1"/>
  <c r="S8" i="32" s="1"/>
  <c r="R39" i="32"/>
  <c r="R7" i="32" s="1"/>
  <c r="R92" i="32"/>
  <c r="R66" i="32" s="1"/>
  <c r="S110" i="32"/>
  <c r="S113" i="32" s="1"/>
  <c r="R43" i="32"/>
  <c r="R26" i="32"/>
  <c r="R28" i="32" s="1"/>
  <c r="R23" i="32"/>
  <c r="T21" i="32" l="1"/>
  <c r="T90" i="32"/>
  <c r="T22" i="32"/>
  <c r="T91" i="32"/>
  <c r="T49" i="32" s="1"/>
  <c r="T8" i="32" s="1"/>
  <c r="S26" i="32"/>
  <c r="S28" i="32" s="1"/>
  <c r="S23" i="32"/>
  <c r="S43" i="32"/>
  <c r="T110" i="32"/>
  <c r="T113" i="32" s="1"/>
  <c r="S39" i="32"/>
  <c r="S7" i="32" s="1"/>
  <c r="S92" i="32"/>
  <c r="S66" i="32" s="1"/>
  <c r="U50" i="32"/>
  <c r="U68" i="32" s="1"/>
  <c r="U40" i="32"/>
  <c r="U111" i="32"/>
  <c r="U73" i="32" s="1"/>
  <c r="U74" i="32" s="1"/>
  <c r="U177" i="32" s="1"/>
  <c r="U45" i="32"/>
  <c r="U69" i="32" s="1"/>
  <c r="U24" i="32"/>
  <c r="U25" i="32" s="1"/>
  <c r="U53" i="32"/>
  <c r="U70" i="32" s="1"/>
  <c r="U89" i="32"/>
  <c r="U38" i="32" s="1"/>
  <c r="V18" i="32"/>
  <c r="U19" i="32"/>
  <c r="U20" i="32"/>
  <c r="U90" i="32" l="1"/>
  <c r="U91" i="32"/>
  <c r="U49" i="32" s="1"/>
  <c r="U8" i="32" s="1"/>
  <c r="U21" i="32"/>
  <c r="U22" i="32"/>
  <c r="T43" i="32"/>
  <c r="U110" i="32"/>
  <c r="U113" i="32" s="1"/>
  <c r="T26" i="32"/>
  <c r="T28" i="32" s="1"/>
  <c r="T23" i="32"/>
  <c r="W18" i="32"/>
  <c r="V20" i="32"/>
  <c r="V22" i="32" s="1"/>
  <c r="V111" i="32"/>
  <c r="V73" i="32" s="1"/>
  <c r="V74" i="32" s="1"/>
  <c r="V177" i="32" s="1"/>
  <c r="V53" i="32"/>
  <c r="V70" i="32" s="1"/>
  <c r="V50" i="32"/>
  <c r="V68" i="32" s="1"/>
  <c r="V24" i="32"/>
  <c r="V25" i="32" s="1"/>
  <c r="V19" i="32"/>
  <c r="V40" i="32"/>
  <c r="V45" i="32"/>
  <c r="V69" i="32" s="1"/>
  <c r="V89" i="32"/>
  <c r="V38" i="32" s="1"/>
  <c r="T39" i="32"/>
  <c r="T7" i="32" s="1"/>
  <c r="T92" i="32"/>
  <c r="T66" i="32" s="1"/>
  <c r="U23" i="32" l="1"/>
  <c r="U26" i="32"/>
  <c r="U28" i="32" s="1"/>
  <c r="V26" i="32"/>
  <c r="V28" i="32" s="1"/>
  <c r="V23" i="32"/>
  <c r="V21" i="32"/>
  <c r="V90" i="32"/>
  <c r="V91" i="32"/>
  <c r="V49" i="32" s="1"/>
  <c r="V8" i="32" s="1"/>
  <c r="V110" i="32"/>
  <c r="V113" i="32" s="1"/>
  <c r="U43" i="32"/>
  <c r="W89" i="32"/>
  <c r="W38" i="32" s="1"/>
  <c r="W19" i="32"/>
  <c r="W50" i="32"/>
  <c r="W68" i="32" s="1"/>
  <c r="W45" i="32"/>
  <c r="W69" i="32" s="1"/>
  <c r="W40" i="32"/>
  <c r="W24" i="32"/>
  <c r="W25" i="32" s="1"/>
  <c r="W111" i="32"/>
  <c r="W73" i="32" s="1"/>
  <c r="W74" i="32" s="1"/>
  <c r="W177" i="32" s="1"/>
  <c r="W53" i="32"/>
  <c r="W70" i="32" s="1"/>
  <c r="W20" i="32"/>
  <c r="U39" i="32"/>
  <c r="U7" i="32" s="1"/>
  <c r="U92" i="32"/>
  <c r="U66" i="32" s="1"/>
  <c r="W110" i="32" l="1"/>
  <c r="W113" i="32" s="1"/>
  <c r="W43" i="32" s="1"/>
  <c r="V43" i="32"/>
  <c r="V39" i="32"/>
  <c r="V7" i="32" s="1"/>
  <c r="V92" i="32"/>
  <c r="V66" i="32" s="1"/>
  <c r="W22" i="32"/>
  <c r="W21" i="32"/>
  <c r="W91" i="32"/>
  <c r="W49" i="32" s="1"/>
  <c r="W8" i="32" s="1"/>
  <c r="W90" i="32"/>
  <c r="N45" i="32"/>
  <c r="W39" i="32" l="1"/>
  <c r="W7" i="32" s="1"/>
  <c r="W92" i="32"/>
  <c r="W66" i="32" s="1"/>
  <c r="W23" i="32"/>
  <c r="W26" i="32"/>
  <c r="N69" i="32"/>
  <c r="O69" i="32"/>
  <c r="J202" i="32" l="1"/>
  <c r="J204" i="32" s="1"/>
  <c r="W28" i="32"/>
  <c r="N29" i="32"/>
  <c r="O29" i="32"/>
  <c r="P29" i="32"/>
  <c r="Q29" i="32"/>
  <c r="R29" i="32"/>
  <c r="S29" i="32"/>
  <c r="T29" i="32"/>
  <c r="U29" i="32"/>
  <c r="V29" i="32"/>
  <c r="W29" i="32"/>
  <c r="N30" i="32"/>
  <c r="O30" i="32"/>
  <c r="P30" i="32"/>
  <c r="Q30" i="32"/>
  <c r="R30" i="32"/>
  <c r="S30" i="32"/>
  <c r="T30" i="32"/>
  <c r="U30" i="32"/>
  <c r="V30" i="32"/>
  <c r="W30" i="32"/>
  <c r="N31" i="32"/>
  <c r="O31" i="32"/>
  <c r="P31" i="32"/>
  <c r="Q31" i="32"/>
  <c r="R31" i="32"/>
  <c r="S31" i="32"/>
  <c r="T31" i="32"/>
  <c r="U31" i="32"/>
  <c r="V31" i="32"/>
  <c r="W31" i="32"/>
  <c r="N32" i="32"/>
  <c r="O32" i="32"/>
  <c r="P32" i="32"/>
  <c r="Q32" i="32"/>
  <c r="R32" i="32"/>
  <c r="S32" i="32"/>
  <c r="T32" i="32"/>
  <c r="U32" i="32"/>
  <c r="V32" i="32"/>
  <c r="W32" i="32"/>
  <c r="N37" i="32"/>
  <c r="O37" i="32"/>
  <c r="P37" i="32"/>
  <c r="Q37" i="32"/>
  <c r="R37" i="32"/>
  <c r="S37" i="32"/>
  <c r="T37" i="32"/>
  <c r="U37" i="32"/>
  <c r="V37" i="32"/>
  <c r="W37" i="32"/>
  <c r="N47" i="32"/>
  <c r="O47" i="32"/>
  <c r="P47" i="32"/>
  <c r="Q47" i="32"/>
  <c r="R47" i="32"/>
  <c r="S47" i="32"/>
  <c r="T47" i="32"/>
  <c r="U47" i="32"/>
  <c r="V47" i="32"/>
  <c r="W47" i="32"/>
  <c r="N52" i="32"/>
  <c r="O52" i="32"/>
  <c r="P52" i="32"/>
  <c r="Q52" i="32"/>
  <c r="R52" i="32"/>
  <c r="S52" i="32"/>
  <c r="T52" i="32"/>
  <c r="U52" i="32"/>
  <c r="V52" i="32"/>
  <c r="W52" i="32"/>
  <c r="N55" i="32"/>
  <c r="O55" i="32"/>
  <c r="P55" i="32"/>
  <c r="Q55" i="32"/>
  <c r="R55" i="32"/>
  <c r="S55" i="32"/>
  <c r="T55" i="32"/>
  <c r="U55" i="32"/>
  <c r="V55" i="32"/>
  <c r="W55" i="32"/>
  <c r="N57" i="32"/>
  <c r="O57" i="32"/>
  <c r="P57" i="32"/>
  <c r="Q57" i="32"/>
  <c r="R57" i="32"/>
  <c r="S57" i="32"/>
  <c r="T57" i="32"/>
  <c r="U57" i="32"/>
  <c r="V57" i="32"/>
  <c r="W57" i="32"/>
  <c r="N59" i="32"/>
  <c r="O59" i="32"/>
  <c r="P59" i="32"/>
  <c r="Q59" i="32"/>
  <c r="R59" i="32"/>
  <c r="S59" i="32"/>
  <c r="T59" i="32"/>
  <c r="U59" i="32"/>
  <c r="V59" i="32"/>
  <c r="W59" i="32"/>
  <c r="N64" i="32"/>
  <c r="O64" i="32"/>
  <c r="P64" i="32"/>
  <c r="Q64" i="32"/>
  <c r="R64" i="32"/>
  <c r="S64" i="32"/>
  <c r="T64" i="32"/>
  <c r="U64" i="32"/>
  <c r="V64" i="32"/>
  <c r="W64" i="32"/>
  <c r="N71" i="32"/>
  <c r="O71" i="32"/>
  <c r="P71" i="32"/>
  <c r="Q71" i="32"/>
  <c r="R71" i="32"/>
  <c r="S71" i="32"/>
  <c r="T71" i="32"/>
  <c r="U71" i="32"/>
  <c r="V71" i="32"/>
  <c r="W71" i="32"/>
  <c r="N76" i="32"/>
  <c r="O76" i="32"/>
  <c r="P76" i="32"/>
  <c r="Q76" i="32"/>
  <c r="R76" i="32"/>
  <c r="S76" i="32"/>
  <c r="T76" i="32"/>
  <c r="U76" i="32"/>
  <c r="V76" i="32"/>
  <c r="W76" i="32"/>
  <c r="N82" i="32"/>
  <c r="O82" i="32"/>
  <c r="P82" i="32"/>
  <c r="Q82" i="32"/>
  <c r="R82" i="32"/>
  <c r="S82" i="32"/>
  <c r="T82" i="32"/>
  <c r="U82" i="32"/>
  <c r="V82" i="32"/>
  <c r="W82" i="32"/>
  <c r="N84" i="32"/>
  <c r="O84" i="32"/>
  <c r="P84" i="32"/>
  <c r="Q84" i="32"/>
  <c r="R84" i="32"/>
  <c r="S84" i="32"/>
  <c r="T84" i="32"/>
  <c r="U84" i="32"/>
  <c r="V84" i="32"/>
  <c r="W84" i="32"/>
  <c r="N176" i="32"/>
  <c r="O176" i="32"/>
  <c r="P176" i="32"/>
  <c r="Q176" i="32"/>
  <c r="R176" i="32"/>
  <c r="S176" i="32"/>
  <c r="T176" i="32"/>
  <c r="U176" i="32"/>
  <c r="V176" i="32"/>
  <c r="W176" i="32"/>
  <c r="N179" i="32"/>
  <c r="O179" i="32"/>
  <c r="P179" i="32"/>
  <c r="Q179" i="32"/>
  <c r="R179" i="32"/>
  <c r="S179" i="32"/>
  <c r="T179" i="32"/>
  <c r="U179" i="32"/>
  <c r="V179" i="32"/>
  <c r="W179" i="32"/>
  <c r="O180" i="32"/>
  <c r="N181" i="32"/>
  <c r="O181" i="32"/>
  <c r="P181" i="32"/>
  <c r="Q181" i="32"/>
  <c r="R181" i="32"/>
  <c r="S181" i="32"/>
  <c r="T181" i="32"/>
  <c r="U181" i="32"/>
  <c r="V181" i="32"/>
  <c r="W181" i="32"/>
  <c r="N183" i="32"/>
  <c r="O183" i="32"/>
  <c r="P183" i="32"/>
  <c r="Q183" i="32"/>
  <c r="R183" i="32"/>
  <c r="S183" i="32"/>
  <c r="T183" i="32"/>
  <c r="U183" i="32"/>
  <c r="V183" i="32"/>
  <c r="W183" i="32"/>
  <c r="N185" i="32"/>
  <c r="O185" i="32"/>
  <c r="P185" i="32"/>
  <c r="Q185" i="32"/>
  <c r="R185" i="32"/>
  <c r="S185" i="32"/>
  <c r="T185" i="32"/>
  <c r="U185" i="32"/>
  <c r="V185" i="32"/>
  <c r="W185" i="32"/>
  <c r="N187" i="32"/>
  <c r="O187" i="32"/>
  <c r="P187" i="32"/>
  <c r="Q187" i="32"/>
  <c r="R187" i="32"/>
  <c r="S187" i="32"/>
  <c r="T187" i="32"/>
  <c r="U187" i="32"/>
  <c r="V187" i="32"/>
  <c r="W187" i="32"/>
  <c r="N188" i="32"/>
  <c r="O188" i="32"/>
  <c r="P188" i="32"/>
  <c r="Q188" i="32"/>
  <c r="R188" i="32"/>
  <c r="S188" i="32"/>
  <c r="T188" i="32"/>
  <c r="U188" i="32"/>
  <c r="V188" i="32"/>
  <c r="W188" i="32"/>
  <c r="O193" i="32"/>
  <c r="P193" i="32"/>
  <c r="Q193" i="32"/>
  <c r="R193" i="32"/>
  <c r="S193" i="32"/>
  <c r="T193" i="32"/>
  <c r="U193" i="32"/>
  <c r="V193" i="32"/>
  <c r="W193" i="32"/>
  <c r="N194" i="32"/>
  <c r="O194" i="32"/>
  <c r="P194" i="32"/>
  <c r="Q194" i="32"/>
  <c r="R194" i="32"/>
  <c r="S194" i="32"/>
  <c r="T194" i="32"/>
  <c r="U194" i="32"/>
  <c r="V194" i="32"/>
  <c r="W194" i="32"/>
  <c r="N198" i="32"/>
  <c r="O198" i="32"/>
  <c r="P198" i="32"/>
  <c r="Q198" i="32"/>
  <c r="R198" i="32"/>
  <c r="S198" i="32"/>
  <c r="T198" i="32"/>
  <c r="U198" i="32"/>
  <c r="V198" i="32"/>
  <c r="W198" i="32"/>
  <c r="J205" i="32"/>
  <c r="J206" i="32"/>
  <c r="J207" i="32"/>
  <c r="K211" i="32"/>
  <c r="W211" i="32"/>
  <c r="J217" i="32"/>
</calcChain>
</file>

<file path=xl/sharedStrings.xml><?xml version="1.0" encoding="utf-8"?>
<sst xmlns="http://schemas.openxmlformats.org/spreadsheetml/2006/main" count="266" uniqueCount="183">
  <si>
    <t>Drivers</t>
  </si>
  <si>
    <t>ABC LBO Model</t>
  </si>
  <si>
    <t>ABC</t>
  </si>
  <si>
    <t>Target</t>
  </si>
  <si>
    <t>Fully diluted shares outstanding</t>
  </si>
  <si>
    <t>Acquisition premium</t>
  </si>
  <si>
    <t>LBO date</t>
  </si>
  <si>
    <t>First forecast year</t>
  </si>
  <si>
    <t>Currency</t>
  </si>
  <si>
    <t>$</t>
  </si>
  <si>
    <t>Reporting units</t>
  </si>
  <si>
    <t>000s</t>
  </si>
  <si>
    <t>Domestic country</t>
  </si>
  <si>
    <t>Italy</t>
  </si>
  <si>
    <t>Minimum cash balance</t>
  </si>
  <si>
    <t>Fiscal year end</t>
  </si>
  <si>
    <t>Days in year</t>
  </si>
  <si>
    <t>Tax rate</t>
  </si>
  <si>
    <t>P&amp;L</t>
  </si>
  <si>
    <t>Revenue</t>
  </si>
  <si>
    <t>y-o-y growth</t>
  </si>
  <si>
    <t>Cost of goods sold</t>
  </si>
  <si>
    <t>% of revenue</t>
  </si>
  <si>
    <t>Gross profit</t>
  </si>
  <si>
    <t>% margin</t>
  </si>
  <si>
    <t>Operating expenses</t>
  </si>
  <si>
    <t>EBITDA</t>
  </si>
  <si>
    <t>D&amp;A</t>
  </si>
  <si>
    <t>EBIT</t>
  </si>
  <si>
    <t>Interest expenses</t>
  </si>
  <si>
    <t>EBT</t>
  </si>
  <si>
    <t>Taxes</t>
  </si>
  <si>
    <t>Net income</t>
  </si>
  <si>
    <t>Valuation</t>
  </si>
  <si>
    <t>Balance sheet</t>
  </si>
  <si>
    <t>Cash</t>
  </si>
  <si>
    <t>Trade receivables</t>
  </si>
  <si>
    <t>Inventory</t>
  </si>
  <si>
    <t>Other current assets</t>
  </si>
  <si>
    <t>Capitalized financing costs</t>
  </si>
  <si>
    <t>PP&amp;E</t>
  </si>
  <si>
    <t>Goodwill</t>
  </si>
  <si>
    <t>Other noncurrent assets</t>
  </si>
  <si>
    <t>Total assets</t>
  </si>
  <si>
    <t>Trade payables</t>
  </si>
  <si>
    <t>Other current liabilities</t>
  </si>
  <si>
    <t>Financial debt</t>
  </si>
  <si>
    <t>Other noncurrent liabilities</t>
  </si>
  <si>
    <t>Shareholders' equity</t>
  </si>
  <si>
    <t>Total liabilities &amp; equity</t>
  </si>
  <si>
    <t>Check</t>
  </si>
  <si>
    <t>Closing</t>
  </si>
  <si>
    <t>Equity at transaction</t>
  </si>
  <si>
    <t>Net debt</t>
  </si>
  <si>
    <t>Price per share at transaction</t>
  </si>
  <si>
    <t>Enterprise value</t>
  </si>
  <si>
    <t>EV/EBITDA entry multiple</t>
  </si>
  <si>
    <t>Transaction fees</t>
  </si>
  <si>
    <t>Amortization</t>
  </si>
  <si>
    <t>Expensed fees</t>
  </si>
  <si>
    <t>Capitalized fees</t>
  </si>
  <si>
    <t>M&amp;A / Sponsor fees</t>
  </si>
  <si>
    <t>Notes</t>
  </si>
  <si>
    <t>Expensed</t>
  </si>
  <si>
    <t>Amort. Period</t>
  </si>
  <si>
    <t>Sponsor fee</t>
  </si>
  <si>
    <t>Investment bank fee</t>
  </si>
  <si>
    <t>Fees</t>
  </si>
  <si>
    <t>Amount</t>
  </si>
  <si>
    <t>Debt financing</t>
  </si>
  <si>
    <t>Senior note</t>
  </si>
  <si>
    <t>of Total principal amount</t>
  </si>
  <si>
    <t>Term A</t>
  </si>
  <si>
    <t>Term B</t>
  </si>
  <si>
    <t>Capitalized</t>
  </si>
  <si>
    <t>Legal fees</t>
  </si>
  <si>
    <t>Sources &amp; Uses of funds</t>
  </si>
  <si>
    <t>Excess cash</t>
  </si>
  <si>
    <t>Sources of Funds</t>
  </si>
  <si>
    <t>Total</t>
  </si>
  <si>
    <t>Uses of Funds</t>
  </si>
  <si>
    <t>Common equity</t>
  </si>
  <si>
    <t>Acquisition price</t>
  </si>
  <si>
    <t>Fees &amp; expenses</t>
  </si>
  <si>
    <t>Refinance existing debt</t>
  </si>
  <si>
    <t>Balance Sheet@Transaction</t>
  </si>
  <si>
    <t>Financing</t>
  </si>
  <si>
    <t>FV adjustments:</t>
  </si>
  <si>
    <t>FV adj.</t>
  </si>
  <si>
    <t>BS prior deal</t>
  </si>
  <si>
    <t>Target BS post deal</t>
  </si>
  <si>
    <t>Fair Value</t>
  </si>
  <si>
    <t>Equity purchase price</t>
  </si>
  <si>
    <t>Excess purchase price</t>
  </si>
  <si>
    <t>Net book value of assets</t>
  </si>
  <si>
    <t>Fair value adjustments</t>
  </si>
  <si>
    <t>DSO</t>
  </si>
  <si>
    <t>DIO</t>
  </si>
  <si>
    <t>DPO</t>
  </si>
  <si>
    <t>Capex % of revenue</t>
  </si>
  <si>
    <t>Fixed assets roll forward</t>
  </si>
  <si>
    <t>PP&amp;E Opening</t>
  </si>
  <si>
    <t>Capex</t>
  </si>
  <si>
    <t>Depreciation</t>
  </si>
  <si>
    <t>PP&amp;E Ending</t>
  </si>
  <si>
    <t>Goodwill Opening</t>
  </si>
  <si>
    <t>Increase Goodwill</t>
  </si>
  <si>
    <t>Impairment</t>
  </si>
  <si>
    <t>Goodwill Ending</t>
  </si>
  <si>
    <t>Amortization - transaction fees</t>
  </si>
  <si>
    <t>Working capital</t>
  </si>
  <si>
    <t>Net trade working capital</t>
  </si>
  <si>
    <t>Net cycle</t>
  </si>
  <si>
    <t>LIBOR curve</t>
  </si>
  <si>
    <t>Revolver</t>
  </si>
  <si>
    <t>Interest rates</t>
  </si>
  <si>
    <t>LIBOR+ (spread)</t>
  </si>
  <si>
    <t>Repayment schedule</t>
  </si>
  <si>
    <t>Bullet year</t>
  </si>
  <si>
    <t>Rep. schedule</t>
  </si>
  <si>
    <t>Amortization of capitalized financing costs - schedule</t>
  </si>
  <si>
    <t>Cash flow</t>
  </si>
  <si>
    <t>Plus: D&amp;A</t>
  </si>
  <si>
    <t>Less: Investments in working capital</t>
  </si>
  <si>
    <t>Operating cash flow</t>
  </si>
  <si>
    <t>Investing cash flow</t>
  </si>
  <si>
    <t>Debt issuance</t>
  </si>
  <si>
    <t>Debt repayment</t>
  </si>
  <si>
    <t>Equity issuance</t>
  </si>
  <si>
    <t>Equity repurchase</t>
  </si>
  <si>
    <t>Dividends</t>
  </si>
  <si>
    <t>Financing cash flow</t>
  </si>
  <si>
    <t>Net cash flow</t>
  </si>
  <si>
    <t>Senior note - beginning</t>
  </si>
  <si>
    <t>Senior note - repayment</t>
  </si>
  <si>
    <t>Senior note - remaining</t>
  </si>
  <si>
    <t>Senior note - interest expense</t>
  </si>
  <si>
    <t>Term A - beginning</t>
  </si>
  <si>
    <t>Term A - repayment</t>
  </si>
  <si>
    <t>Term A - remaining</t>
  </si>
  <si>
    <t>Term A - interest expense</t>
  </si>
  <si>
    <t>Term B - beginning</t>
  </si>
  <si>
    <t>Term B - repayment</t>
  </si>
  <si>
    <t>Term B - remaining</t>
  </si>
  <si>
    <t>Term B - interest expense</t>
  </si>
  <si>
    <t>Equity schedule</t>
  </si>
  <si>
    <t>Shareholders equity opening</t>
  </si>
  <si>
    <t>Equity repurchases</t>
  </si>
  <si>
    <t>Issuance of equity</t>
  </si>
  <si>
    <t>Shareholders equity ending</t>
  </si>
  <si>
    <t>Revolver drawdown calculation</t>
  </si>
  <si>
    <t>Financing cash flow (excl. revolver)</t>
  </si>
  <si>
    <t>Cash flow (excl. revolver)</t>
  </si>
  <si>
    <t>Cash available before revolver</t>
  </si>
  <si>
    <t>Cash surplus/deficit</t>
  </si>
  <si>
    <t xml:space="preserve">Opening cash </t>
  </si>
  <si>
    <t>Revolver drawn</t>
  </si>
  <si>
    <t>Revolver repayment</t>
  </si>
  <si>
    <t>Revolver outstanding - ending</t>
  </si>
  <si>
    <t>Revolver interest expense</t>
  </si>
  <si>
    <t>Exit valuation</t>
  </si>
  <si>
    <t>Exit EBITDA multiple</t>
  </si>
  <si>
    <t>Terminal EV</t>
  </si>
  <si>
    <t>Financial liabilities</t>
  </si>
  <si>
    <t>Terminal equity value</t>
  </si>
  <si>
    <t>EBITDA exit</t>
  </si>
  <si>
    <t>Equity owners</t>
  </si>
  <si>
    <t>IRR</t>
  </si>
  <si>
    <t>Current ABC share price</t>
  </si>
  <si>
    <t>$ 000s</t>
  </si>
  <si>
    <t>of Transaction value</t>
  </si>
  <si>
    <t>ABC share price</t>
  </si>
  <si>
    <t>Diluted shares outstanding</t>
  </si>
  <si>
    <t>Base case</t>
  </si>
  <si>
    <t>2022A</t>
  </si>
  <si>
    <t>2032F</t>
  </si>
  <si>
    <t>DRIVERS</t>
  </si>
  <si>
    <t>EZEJI EMMANUEL IFEANYI</t>
  </si>
  <si>
    <t>(EQUITY &amp; LBO ANALYST)</t>
  </si>
  <si>
    <t>Sensitivity Analysis</t>
  </si>
  <si>
    <t>Equity owners  IRR</t>
  </si>
  <si>
    <t>Revenue growth  rate</t>
  </si>
  <si>
    <t>EBITDA  entry multiple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</si>
</sst>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3" formatCode="_(* #,##0.00_);_(* \(#,##0.00\);_(* &quot;-&quot;??_);_(@_)"/>
    <numFmt numFmtId="164" formatCode="#,##0;\(#,##0\);\-"/>
    <numFmt numFmtId="165" formatCode="#\F"/>
    <numFmt numFmtId="166" formatCode="#\A"/>
    <numFmt numFmtId="167" formatCode="0.0%"/>
    <numFmt numFmtId="168" formatCode="_(* #,##0_);_(* \(#,##0\);_(* &quot;-&quot;??_);_(@_)"/>
    <numFmt numFmtId="169" formatCode="0.0"/>
    <numFmt numFmtId="170" formatCode="_(* #,##0.0_);_(* \(#,##0.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40"/>
      <color rgb="FF0070C0"/>
      <name val="Arial"/>
      <family val="2"/>
    </font>
    <font>
      <sz val="9"/>
      <color rgb="FF0000FF"/>
      <name val="Arial"/>
      <family val="2"/>
    </font>
    <font>
      <b/>
      <sz val="9"/>
      <color theme="1"/>
      <name val="Arial"/>
      <family val="2"/>
    </font>
    <font>
      <b/>
      <sz val="9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6"/>
      <color rgb="FF0070C0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70C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4"/>
      <name val="Arial"/>
      <family val="2"/>
    </font>
    <font>
      <b/>
      <sz val="16"/>
      <color theme="4"/>
      <name val="Arial"/>
      <family val="2"/>
    </font>
    <font>
      <sz val="11"/>
      <color theme="4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164" fontId="4" fillId="2" borderId="0"/>
    <xf numFmtId="164" fontId="2" fillId="2" borderId="0"/>
    <xf numFmtId="9" fontId="4" fillId="2" borderId="0"/>
    <xf numFmtId="9" fontId="2" fillId="2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</cellStyleXfs>
  <cellXfs count="49">
    <xf numFmtId="0" fontId="0" fillId="0" borderId="0" xfId="0"/>
    <xf numFmtId="0" fontId="1" fillId="2" borderId="0" xfId="0" applyFont="1" applyFill="1"/>
    <xf numFmtId="0" fontId="3" fillId="2" borderId="0" xfId="0" applyFont="1" applyFill="1"/>
    <xf numFmtId="165" fontId="5" fillId="2" borderId="1" xfId="0" applyNumberFormat="1" applyFont="1" applyFill="1" applyBorder="1"/>
    <xf numFmtId="166" fontId="5" fillId="3" borderId="1" xfId="0" applyNumberFormat="1" applyFont="1" applyFill="1" applyBorder="1"/>
    <xf numFmtId="0" fontId="8" fillId="0" borderId="0" xfId="0" applyFont="1"/>
    <xf numFmtId="9" fontId="0" fillId="0" borderId="0" xfId="5" applyFont="1"/>
    <xf numFmtId="10" fontId="0" fillId="0" borderId="0" xfId="5" applyNumberFormat="1" applyFont="1"/>
    <xf numFmtId="168" fontId="0" fillId="0" borderId="0" xfId="6" applyNumberFormat="1" applyFont="1"/>
    <xf numFmtId="0" fontId="0" fillId="0" borderId="0" xfId="0" applyAlignment="1"/>
    <xf numFmtId="169" fontId="0" fillId="0" borderId="0" xfId="0" applyNumberFormat="1"/>
    <xf numFmtId="0" fontId="0" fillId="0" borderId="0" xfId="0" applyAlignment="1">
      <alignment horizontal="right"/>
    </xf>
    <xf numFmtId="0" fontId="8" fillId="0" borderId="0" xfId="0" applyFont="1" applyAlignment="1">
      <alignment horizontal="right"/>
    </xf>
    <xf numFmtId="0" fontId="5" fillId="2" borderId="2" xfId="0" applyFont="1" applyFill="1" applyBorder="1"/>
    <xf numFmtId="165" fontId="5" fillId="2" borderId="2" xfId="0" applyNumberFormat="1" applyFont="1" applyFill="1" applyBorder="1"/>
    <xf numFmtId="166" fontId="6" fillId="4" borderId="1" xfId="0" applyNumberFormat="1" applyFont="1" applyFill="1" applyBorder="1"/>
    <xf numFmtId="0" fontId="6" fillId="4" borderId="1" xfId="0" applyFont="1" applyFill="1" applyBorder="1" applyAlignment="1">
      <alignment horizontal="right"/>
    </xf>
    <xf numFmtId="168" fontId="9" fillId="0" borderId="0" xfId="6" applyNumberFormat="1" applyFont="1"/>
    <xf numFmtId="166" fontId="5" fillId="4" borderId="2" xfId="0" applyNumberFormat="1" applyFont="1" applyFill="1" applyBorder="1"/>
    <xf numFmtId="170" fontId="0" fillId="0" borderId="0" xfId="6" applyNumberFormat="1" applyFont="1"/>
    <xf numFmtId="168" fontId="8" fillId="0" borderId="0" xfId="6" applyNumberFormat="1" applyFont="1"/>
    <xf numFmtId="168" fontId="11" fillId="0" borderId="0" xfId="6" applyNumberFormat="1" applyFont="1"/>
    <xf numFmtId="168" fontId="12" fillId="0" borderId="0" xfId="6" applyNumberFormat="1" applyFont="1"/>
    <xf numFmtId="0" fontId="13" fillId="2" borderId="0" xfId="0" applyFont="1" applyFill="1"/>
    <xf numFmtId="0" fontId="13" fillId="0" borderId="0" xfId="0" applyFont="1"/>
    <xf numFmtId="0" fontId="14" fillId="2" borderId="0" xfId="0" applyFont="1" applyFill="1"/>
    <xf numFmtId="0" fontId="0" fillId="0" borderId="0" xfId="0" applyAlignment="1">
      <alignment vertical="center"/>
    </xf>
    <xf numFmtId="168" fontId="0" fillId="0" borderId="0" xfId="6" applyNumberFormat="1" applyFont="1" applyAlignment="1">
      <alignment vertical="center"/>
    </xf>
    <xf numFmtId="169" fontId="0" fillId="0" borderId="0" xfId="0" applyNumberFormat="1" applyAlignment="1">
      <alignment vertical="center"/>
    </xf>
    <xf numFmtId="14" fontId="0" fillId="0" borderId="0" xfId="0" applyNumberFormat="1" applyAlignment="1">
      <alignment horizontal="right"/>
    </xf>
    <xf numFmtId="9" fontId="0" fillId="0" borderId="0" xfId="5" applyFont="1" applyAlignment="1">
      <alignment horizontal="right"/>
    </xf>
    <xf numFmtId="9" fontId="0" fillId="0" borderId="0" xfId="5" applyFont="1" applyAlignment="1">
      <alignment vertical="center"/>
    </xf>
    <xf numFmtId="168" fontId="0" fillId="0" borderId="0" xfId="0" applyNumberFormat="1"/>
    <xf numFmtId="167" fontId="0" fillId="0" borderId="0" xfId="5" applyNumberFormat="1" applyFont="1"/>
    <xf numFmtId="43" fontId="0" fillId="0" borderId="0" xfId="0" applyNumberFormat="1"/>
    <xf numFmtId="1" fontId="8" fillId="0" borderId="0" xfId="5" applyNumberFormat="1" applyFont="1"/>
    <xf numFmtId="0" fontId="11" fillId="2" borderId="0" xfId="0" applyFont="1" applyFill="1"/>
    <xf numFmtId="9" fontId="17" fillId="0" borderId="0" xfId="0" applyNumberFormat="1" applyFont="1"/>
    <xf numFmtId="9" fontId="17" fillId="0" borderId="0" xfId="5" applyFont="1"/>
    <xf numFmtId="169" fontId="17" fillId="0" borderId="0" xfId="5" applyNumberFormat="1" applyFont="1"/>
    <xf numFmtId="169" fontId="8" fillId="0" borderId="0" xfId="0" applyNumberFormat="1" applyFont="1"/>
    <xf numFmtId="9" fontId="8" fillId="0" borderId="0" xfId="0" applyNumberFormat="1" applyFont="1"/>
    <xf numFmtId="43" fontId="0" fillId="0" borderId="0" xfId="6" applyNumberFormat="1" applyFont="1"/>
    <xf numFmtId="0" fontId="16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 wrapText="1"/>
    </xf>
    <xf numFmtId="0" fontId="8" fillId="0" borderId="0" xfId="0" applyFont="1" applyAlignment="1">
      <alignment horizontal="center"/>
    </xf>
    <xf numFmtId="168" fontId="8" fillId="0" borderId="0" xfId="6" applyNumberFormat="1" applyFont="1" applyAlignment="1">
      <alignment horizontal="center" vertical="center"/>
    </xf>
    <xf numFmtId="0" fontId="13" fillId="0" borderId="0" xfId="0" applyFont="1" applyAlignment="1">
      <alignment horizontal="left"/>
    </xf>
    <xf numFmtId="0" fontId="10" fillId="0" borderId="0" xfId="0" applyFont="1" applyAlignment="1">
      <alignment horizontal="left"/>
    </xf>
  </cellXfs>
  <cellStyles count="7">
    <cellStyle name="Comma" xfId="6" builtinId="3"/>
    <cellStyle name="Formula reference" xfId="2"/>
    <cellStyle name="Formula reference %" xfId="4"/>
    <cellStyle name="Hard input" xfId="1"/>
    <cellStyle name="Hard input %" xfId="3"/>
    <cellStyle name="Normal" xfId="0" builtinId="0"/>
    <cellStyle name="Percent" xfId="5" builtinId="5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Sheet1!$I$112</c:f>
              <c:strCache>
                <c:ptCount val="1"/>
                <c:pt idx="0">
                  <c:v>Depreciation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10"/>
            <c:dispRSqr val="1"/>
            <c:dispEq val="1"/>
            <c:trendlineLbl>
              <c:layout>
                <c:manualLayout>
                  <c:x val="-0.28659751135976153"/>
                  <c:y val="-5.416557305336833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Sheet1!$J$109:$L$109</c:f>
              <c:numCache>
                <c:formatCode>#\A</c:formatCod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numCache>
            </c:numRef>
          </c:xVal>
          <c:yVal>
            <c:numRef>
              <c:f>Sheet1!$K$112:$L$112</c:f>
              <c:numCache>
                <c:formatCode>_(* #,##0_);_(* \(#,##0\);_(* "-"??_);_(@_)</c:formatCode>
                <c:ptCount val="2"/>
                <c:pt idx="0">
                  <c:v>-1510.3767303073387</c:v>
                </c:pt>
                <c:pt idx="1">
                  <c:v>-1870.3969999999999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9919192"/>
        <c:axId val="269704040"/>
      </c:scatterChart>
      <c:valAx>
        <c:axId val="269919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A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704040"/>
        <c:crosses val="autoZero"/>
        <c:crossBetween val="midCat"/>
      </c:valAx>
      <c:valAx>
        <c:axId val="269704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919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813955</xdr:colOff>
      <xdr:row>6</xdr:row>
      <xdr:rowOff>164524</xdr:rowOff>
    </xdr:from>
    <xdr:to>
      <xdr:col>8</xdr:col>
      <xdr:colOff>0</xdr:colOff>
      <xdr:row>7</xdr:row>
      <xdr:rowOff>164523</xdr:rowOff>
    </xdr:to>
    <xdr:sp macro="" textlink="">
      <xdr:nvSpPr>
        <xdr:cNvPr id="2" name="Right Arrow 1"/>
        <xdr:cNvSpPr/>
      </xdr:nvSpPr>
      <xdr:spPr>
        <a:xfrm>
          <a:off x="6927273" y="1385456"/>
          <a:ext cx="4745182" cy="19049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1004455</xdr:colOff>
      <xdr:row>119</xdr:row>
      <xdr:rowOff>70137</xdr:rowOff>
    </xdr:from>
    <xdr:to>
      <xdr:col>13</xdr:col>
      <xdr:colOff>43296</xdr:colOff>
      <xdr:row>133</xdr:row>
      <xdr:rowOff>146337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5:F19"/>
  <sheetViews>
    <sheetView topLeftCell="A10" workbookViewId="0">
      <selection activeCell="L21" sqref="L21"/>
    </sheetView>
  </sheetViews>
  <sheetFormatPr defaultColWidth="9.140625" defaultRowHeight="14.25" x14ac:dyDescent="0.2"/>
  <cols>
    <col min="1" max="1" width="2" style="1" customWidth="1"/>
    <col min="2" max="16384" width="9.140625" style="1"/>
  </cols>
  <sheetData>
    <row r="15" spans="2:2" ht="50.25" x14ac:dyDescent="0.7">
      <c r="B15" s="2" t="s">
        <v>1</v>
      </c>
    </row>
    <row r="17" spans="2:6" ht="20.25" x14ac:dyDescent="0.3">
      <c r="B17" s="43" t="s">
        <v>177</v>
      </c>
      <c r="C17" s="43"/>
      <c r="D17" s="43"/>
      <c r="E17" s="43"/>
      <c r="F17" s="43"/>
    </row>
    <row r="18" spans="2:6" ht="27.75" customHeight="1" x14ac:dyDescent="0.2">
      <c r="B18" s="44" t="s">
        <v>178</v>
      </c>
      <c r="C18" s="44"/>
      <c r="D18" s="44"/>
      <c r="E18" s="44"/>
      <c r="F18" s="44"/>
    </row>
    <row r="19" spans="2:6" x14ac:dyDescent="0.2">
      <c r="B19" s="44"/>
      <c r="C19" s="44"/>
      <c r="D19" s="44"/>
      <c r="E19" s="44"/>
      <c r="F19" s="44"/>
    </row>
  </sheetData>
  <mergeCells count="2">
    <mergeCell ref="B17:F17"/>
    <mergeCell ref="B18:F1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22"/>
  <sheetViews>
    <sheetView tabSelected="1" topLeftCell="H1" zoomScale="110" zoomScaleNormal="110" workbookViewId="0">
      <selection activeCell="Y154" sqref="Y154"/>
    </sheetView>
  </sheetViews>
  <sheetFormatPr defaultRowHeight="15" x14ac:dyDescent="0.25"/>
  <cols>
    <col min="1" max="1" width="35.85546875" customWidth="1"/>
    <col min="2" max="2" width="16.28515625" customWidth="1"/>
    <col min="3" max="3" width="25.28515625" customWidth="1"/>
    <col min="4" max="4" width="14.28515625" customWidth="1"/>
    <col min="5" max="5" width="16.7109375" customWidth="1"/>
    <col min="6" max="6" width="13.5703125" bestFit="1" customWidth="1"/>
    <col min="7" max="7" width="13.7109375" customWidth="1"/>
    <col min="8" max="8" width="15.28515625" customWidth="1"/>
    <col min="9" max="9" width="27.42578125" customWidth="1"/>
    <col min="10" max="12" width="11.42578125" bestFit="1" customWidth="1"/>
    <col min="13" max="13" width="8.7109375" customWidth="1"/>
    <col min="14" max="15" width="11.5703125" bestFit="1" customWidth="1"/>
    <col min="16" max="23" width="11.7109375" bestFit="1" customWidth="1"/>
    <col min="25" max="25" width="14" customWidth="1"/>
  </cols>
  <sheetData>
    <row r="1" spans="1:23" ht="15.75" x14ac:dyDescent="0.25">
      <c r="A1" s="47" t="s">
        <v>33</v>
      </c>
      <c r="B1" s="47"/>
      <c r="C1" s="47" t="s">
        <v>0</v>
      </c>
      <c r="D1" s="47"/>
      <c r="I1" s="24" t="s">
        <v>176</v>
      </c>
    </row>
    <row r="2" spans="1:23" x14ac:dyDescent="0.25">
      <c r="A2" t="s">
        <v>168</v>
      </c>
      <c r="B2" s="26">
        <v>150</v>
      </c>
      <c r="C2" t="s">
        <v>3</v>
      </c>
      <c r="D2" s="11" t="s">
        <v>2</v>
      </c>
      <c r="I2" s="4" t="s">
        <v>173</v>
      </c>
      <c r="J2" s="15">
        <v>2020</v>
      </c>
      <c r="K2" s="15">
        <v>2021</v>
      </c>
      <c r="L2" s="16" t="s">
        <v>174</v>
      </c>
      <c r="M2" s="3"/>
      <c r="N2" s="3">
        <v>2023</v>
      </c>
      <c r="O2" s="3">
        <v>2024</v>
      </c>
      <c r="P2" s="3">
        <v>2025</v>
      </c>
      <c r="Q2" s="3">
        <v>2026</v>
      </c>
      <c r="R2" s="3">
        <v>2027</v>
      </c>
      <c r="S2" s="3">
        <v>2028</v>
      </c>
      <c r="T2" s="3">
        <v>2029</v>
      </c>
      <c r="U2" s="3">
        <v>2030</v>
      </c>
      <c r="V2" s="3">
        <v>2031</v>
      </c>
      <c r="W2" s="12" t="s">
        <v>175</v>
      </c>
    </row>
    <row r="3" spans="1:23" x14ac:dyDescent="0.25">
      <c r="A3" t="s">
        <v>5</v>
      </c>
      <c r="B3" s="31">
        <v>0.25</v>
      </c>
      <c r="C3" t="s">
        <v>171</v>
      </c>
      <c r="D3" s="11">
        <v>150</v>
      </c>
      <c r="I3" t="s">
        <v>19</v>
      </c>
      <c r="J3" s="6"/>
      <c r="K3" s="6">
        <v>6.7967546780763444E-2</v>
      </c>
      <c r="L3" s="6">
        <v>0.13100953120856329</v>
      </c>
      <c r="M3" s="6"/>
      <c r="N3" s="6">
        <v>0.1</v>
      </c>
      <c r="O3" s="6">
        <f>N3</f>
        <v>0.1</v>
      </c>
      <c r="P3" s="6">
        <f>O3</f>
        <v>0.1</v>
      </c>
      <c r="Q3" s="7">
        <f>P3-3%</f>
        <v>7.0000000000000007E-2</v>
      </c>
      <c r="R3" s="6">
        <f>Q3</f>
        <v>7.0000000000000007E-2</v>
      </c>
      <c r="S3" s="6">
        <f>R3</f>
        <v>7.0000000000000007E-2</v>
      </c>
      <c r="T3" s="7">
        <f>S3-2%</f>
        <v>0.05</v>
      </c>
      <c r="U3" s="6">
        <f>T3</f>
        <v>0.05</v>
      </c>
      <c r="V3" s="7">
        <f>U3-1%</f>
        <v>0.04</v>
      </c>
      <c r="W3" s="6">
        <f>V3-1%</f>
        <v>0.03</v>
      </c>
    </row>
    <row r="4" spans="1:23" x14ac:dyDescent="0.25">
      <c r="A4" t="s">
        <v>54</v>
      </c>
      <c r="B4" s="26">
        <f>B2*(1+B3)</f>
        <v>187.5</v>
      </c>
      <c r="C4" t="s">
        <v>172</v>
      </c>
      <c r="D4" s="11">
        <v>1000000</v>
      </c>
      <c r="I4" t="s">
        <v>21</v>
      </c>
      <c r="J4" s="6">
        <v>-0.43924635180240917</v>
      </c>
      <c r="K4" s="6">
        <v>-0.53906052030955498</v>
      </c>
      <c r="L4" s="6">
        <v>-0.52592609046729288</v>
      </c>
      <c r="M4" s="6"/>
      <c r="N4" s="6">
        <f>AVERAGE($J$4:$L$4)</f>
        <v>-0.50141098752641899</v>
      </c>
      <c r="O4" s="6">
        <f t="shared" ref="O4:W4" si="0">AVERAGE($J$4:$L$4)</f>
        <v>-0.50141098752641899</v>
      </c>
      <c r="P4" s="6">
        <f t="shared" si="0"/>
        <v>-0.50141098752641899</v>
      </c>
      <c r="Q4" s="6">
        <f t="shared" si="0"/>
        <v>-0.50141098752641899</v>
      </c>
      <c r="R4" s="6">
        <f t="shared" si="0"/>
        <v>-0.50141098752641899</v>
      </c>
      <c r="S4" s="6">
        <f t="shared" si="0"/>
        <v>-0.50141098752641899</v>
      </c>
      <c r="T4" s="6">
        <f t="shared" si="0"/>
        <v>-0.50141098752641899</v>
      </c>
      <c r="U4" s="6">
        <f t="shared" si="0"/>
        <v>-0.50141098752641899</v>
      </c>
      <c r="V4" s="6">
        <f t="shared" si="0"/>
        <v>-0.50141098752641899</v>
      </c>
      <c r="W4" s="6">
        <f t="shared" si="0"/>
        <v>-0.50141098752641899</v>
      </c>
    </row>
    <row r="5" spans="1:23" x14ac:dyDescent="0.25">
      <c r="A5" t="s">
        <v>4</v>
      </c>
      <c r="B5" s="26">
        <v>1000000</v>
      </c>
      <c r="C5" t="s">
        <v>5</v>
      </c>
      <c r="D5" s="30">
        <v>0.25</v>
      </c>
      <c r="I5" t="s">
        <v>25</v>
      </c>
      <c r="J5" s="6">
        <v>-0.21535311551525013</v>
      </c>
      <c r="K5" s="6">
        <v>-0.27611414765467046</v>
      </c>
      <c r="L5" s="6">
        <v>-0.29218609055995315</v>
      </c>
      <c r="M5" s="6"/>
      <c r="N5" s="6">
        <f>AVERAGE($J$5:$L$5)</f>
        <v>-0.26121778457662459</v>
      </c>
      <c r="O5" s="6">
        <f t="shared" ref="O5:W5" si="1">AVERAGE($J$5:$L$5)</f>
        <v>-0.26121778457662459</v>
      </c>
      <c r="P5" s="6">
        <f t="shared" si="1"/>
        <v>-0.26121778457662459</v>
      </c>
      <c r="Q5" s="6">
        <f t="shared" si="1"/>
        <v>-0.26121778457662459</v>
      </c>
      <c r="R5" s="6">
        <f t="shared" si="1"/>
        <v>-0.26121778457662459</v>
      </c>
      <c r="S5" s="6">
        <f t="shared" si="1"/>
        <v>-0.26121778457662459</v>
      </c>
      <c r="T5" s="6">
        <f t="shared" si="1"/>
        <v>-0.26121778457662459</v>
      </c>
      <c r="U5" s="6">
        <f t="shared" si="1"/>
        <v>-0.26121778457662459</v>
      </c>
      <c r="V5" s="6">
        <f t="shared" si="1"/>
        <v>-0.26121778457662459</v>
      </c>
      <c r="W5" s="6">
        <f t="shared" si="1"/>
        <v>-0.26121778457662459</v>
      </c>
    </row>
    <row r="6" spans="1:23" x14ac:dyDescent="0.25">
      <c r="A6" t="s">
        <v>52</v>
      </c>
      <c r="B6" s="27">
        <f>B4*B5/1000</f>
        <v>187500</v>
      </c>
      <c r="C6" t="s">
        <v>15</v>
      </c>
      <c r="D6" s="29">
        <v>45291</v>
      </c>
      <c r="F6" s="32"/>
      <c r="I6" t="s">
        <v>96</v>
      </c>
      <c r="J6" s="19">
        <f>(J38/J18)*$D$9</f>
        <v>43.78230578142314</v>
      </c>
      <c r="K6" s="19">
        <f t="shared" ref="K6:L6" si="2">(K38/K18)*$D$9</f>
        <v>47.748220847244262</v>
      </c>
      <c r="L6" s="19">
        <f t="shared" si="2"/>
        <v>35.531377222665036</v>
      </c>
      <c r="M6" s="8"/>
      <c r="N6" s="19">
        <f>L6</f>
        <v>35.531377222665036</v>
      </c>
      <c r="O6" s="19">
        <v>35.531377222665036</v>
      </c>
      <c r="P6" s="19">
        <v>35.531377222665036</v>
      </c>
      <c r="Q6" s="19">
        <v>35.531377222665036</v>
      </c>
      <c r="R6" s="19">
        <v>35.531377222665036</v>
      </c>
      <c r="S6" s="19">
        <v>35.531377222665036</v>
      </c>
      <c r="T6" s="19">
        <v>35.531377222665036</v>
      </c>
      <c r="U6" s="19">
        <v>35.531377222665036</v>
      </c>
      <c r="V6" s="19">
        <v>35.531377222665036</v>
      </c>
      <c r="W6" s="19">
        <v>35.531377222665036</v>
      </c>
    </row>
    <row r="7" spans="1:23" x14ac:dyDescent="0.25">
      <c r="A7" t="s">
        <v>53</v>
      </c>
      <c r="B7" s="27">
        <f>B59-B44</f>
        <v>-288.59724799917421</v>
      </c>
      <c r="C7" t="s">
        <v>6</v>
      </c>
      <c r="D7" s="29">
        <v>44926</v>
      </c>
      <c r="I7" t="s">
        <v>97</v>
      </c>
      <c r="J7" s="17">
        <f>-(J39/J20)*$D$9</f>
        <v>109.97364206692042</v>
      </c>
      <c r="K7" s="17">
        <f t="shared" ref="K7:W7" si="3">-(K39/K20)*$D$9</f>
        <v>102.01637865851723</v>
      </c>
      <c r="L7" s="17">
        <f t="shared" si="3"/>
        <v>90.961663094334497</v>
      </c>
      <c r="M7" s="8"/>
      <c r="N7" s="17">
        <f t="shared" si="3"/>
        <v>88.921315981296488</v>
      </c>
      <c r="O7" s="17">
        <f t="shared" si="3"/>
        <v>90.538067180956403</v>
      </c>
      <c r="P7" s="17">
        <f t="shared" si="3"/>
        <v>92.184213856973784</v>
      </c>
      <c r="Q7" s="17">
        <f t="shared" si="3"/>
        <v>93.907283274861157</v>
      </c>
      <c r="R7" s="17">
        <f t="shared" si="3"/>
        <v>95.662559597755745</v>
      </c>
      <c r="S7" s="17">
        <f t="shared" si="3"/>
        <v>97.450644823882044</v>
      </c>
      <c r="T7" s="17">
        <f t="shared" si="3"/>
        <v>99.306847582432169</v>
      </c>
      <c r="U7" s="17">
        <f t="shared" si="3"/>
        <v>101.1984065840023</v>
      </c>
      <c r="V7" s="17">
        <f t="shared" si="3"/>
        <v>103.14452978754082</v>
      </c>
      <c r="W7" s="17">
        <f t="shared" si="3"/>
        <v>105.14733619118238</v>
      </c>
    </row>
    <row r="8" spans="1:23" x14ac:dyDescent="0.25">
      <c r="A8" t="s">
        <v>55</v>
      </c>
      <c r="B8" s="27">
        <f>B6+B7</f>
        <v>187211.40275200084</v>
      </c>
      <c r="C8" t="s">
        <v>7</v>
      </c>
      <c r="D8" s="11">
        <v>2023</v>
      </c>
      <c r="I8" t="s">
        <v>98</v>
      </c>
      <c r="J8" s="8">
        <f>-(J49/J20)*$D$9</f>
        <v>74.082300332492409</v>
      </c>
      <c r="K8" s="8">
        <f t="shared" ref="K8:W8" si="4">-(K49/K20)*$D$9</f>
        <v>60.815634415992264</v>
      </c>
      <c r="L8" s="19">
        <f t="shared" si="4"/>
        <v>65.841099442031705</v>
      </c>
      <c r="M8" s="8"/>
      <c r="N8" s="19">
        <f t="shared" si="4"/>
        <v>64.364227839250219</v>
      </c>
      <c r="O8" s="19">
        <f t="shared" si="4"/>
        <v>65.534486527236595</v>
      </c>
      <c r="P8" s="19">
        <f t="shared" si="4"/>
        <v>66.726022645913616</v>
      </c>
      <c r="Q8" s="19">
        <f t="shared" si="4"/>
        <v>67.973238022472756</v>
      </c>
      <c r="R8" s="19">
        <f t="shared" si="4"/>
        <v>69.243765835976916</v>
      </c>
      <c r="S8" s="19">
        <f t="shared" si="4"/>
        <v>70.538041832911063</v>
      </c>
      <c r="T8" s="19">
        <f t="shared" si="4"/>
        <v>71.881623582109384</v>
      </c>
      <c r="U8" s="19">
        <f t="shared" si="4"/>
        <v>73.25079736462574</v>
      </c>
      <c r="V8" s="19">
        <f t="shared" si="4"/>
        <v>74.659466544714704</v>
      </c>
      <c r="W8" s="19">
        <f t="shared" si="4"/>
        <v>76.10916492422372</v>
      </c>
    </row>
    <row r="9" spans="1:23" x14ac:dyDescent="0.25">
      <c r="A9" t="s">
        <v>26</v>
      </c>
      <c r="B9" s="27">
        <v>14329.557999999997</v>
      </c>
      <c r="C9" t="s">
        <v>16</v>
      </c>
      <c r="D9" s="11">
        <v>365</v>
      </c>
      <c r="I9" t="s">
        <v>38</v>
      </c>
      <c r="J9" s="6">
        <f>J40/J18</f>
        <v>0.19005480495512725</v>
      </c>
      <c r="K9" s="6">
        <f t="shared" ref="K9:L9" si="5">K40/K18</f>
        <v>0.1880899370291087</v>
      </c>
      <c r="L9" s="6">
        <f t="shared" si="5"/>
        <v>0.16015714449909779</v>
      </c>
      <c r="M9" s="6"/>
      <c r="N9" s="6">
        <v>0.16015714449909779</v>
      </c>
      <c r="O9" s="6">
        <v>0.16015714449909779</v>
      </c>
      <c r="P9" s="6">
        <v>0.16015714449909779</v>
      </c>
      <c r="Q9" s="6">
        <v>0.16015714449909779</v>
      </c>
      <c r="R9" s="6">
        <v>0.16015714449909779</v>
      </c>
      <c r="S9" s="6">
        <v>0.16015714449909779</v>
      </c>
      <c r="T9" s="6">
        <v>0.16015714449909779</v>
      </c>
      <c r="U9" s="6">
        <v>0.16015714449909779</v>
      </c>
      <c r="V9" s="6">
        <v>0.16015714449909779</v>
      </c>
      <c r="W9" s="6">
        <v>0.16015714449909779</v>
      </c>
    </row>
    <row r="10" spans="1:23" x14ac:dyDescent="0.25">
      <c r="A10" t="s">
        <v>56</v>
      </c>
      <c r="B10" s="28">
        <f>B8/B9</f>
        <v>13.06470183881463</v>
      </c>
      <c r="C10" t="s">
        <v>8</v>
      </c>
      <c r="D10" s="11" t="s">
        <v>9</v>
      </c>
      <c r="I10" t="s">
        <v>42</v>
      </c>
      <c r="J10" s="6">
        <f>J45/J18</f>
        <v>0.31604723096602572</v>
      </c>
      <c r="K10" s="6">
        <f t="shared" ref="K10:L10" si="6">K45/K18</f>
        <v>0.18799884921082707</v>
      </c>
      <c r="L10" s="6">
        <f t="shared" si="6"/>
        <v>0.16815539816985764</v>
      </c>
      <c r="M10" s="6"/>
      <c r="N10" s="6">
        <v>0.16815539816985764</v>
      </c>
      <c r="O10" s="6">
        <v>0.16815539816985764</v>
      </c>
      <c r="P10" s="6">
        <v>0.16815539816985764</v>
      </c>
      <c r="Q10" s="6">
        <v>0.16815539816985764</v>
      </c>
      <c r="R10" s="6">
        <v>0.16815539816985764</v>
      </c>
      <c r="S10" s="6">
        <v>0.16815539816985764</v>
      </c>
      <c r="T10" s="6">
        <v>0.16815539816985764</v>
      </c>
      <c r="U10" s="6">
        <v>0.16815539816985764</v>
      </c>
      <c r="V10" s="6">
        <v>0.16815539816985764</v>
      </c>
      <c r="W10" s="6">
        <v>0.16815539816985764</v>
      </c>
    </row>
    <row r="11" spans="1:23" x14ac:dyDescent="0.25">
      <c r="B11" s="10"/>
      <c r="C11" t="s">
        <v>10</v>
      </c>
      <c r="D11" s="11" t="s">
        <v>11</v>
      </c>
      <c r="I11" t="s">
        <v>45</v>
      </c>
      <c r="J11" s="33">
        <f>J50/J18</f>
        <v>0.10462722126965973</v>
      </c>
      <c r="K11" s="33">
        <f t="shared" ref="K11:L11" si="7">K50/K18</f>
        <v>9.8459262570672917E-2</v>
      </c>
      <c r="L11" s="6">
        <f t="shared" si="7"/>
        <v>7.4090636366157689E-2</v>
      </c>
      <c r="M11" s="6"/>
      <c r="N11" s="6">
        <v>7.4090636366157689E-2</v>
      </c>
      <c r="O11" s="6">
        <v>7.4090636366157689E-2</v>
      </c>
      <c r="P11" s="6">
        <v>7.4090636366157689E-2</v>
      </c>
      <c r="Q11" s="6">
        <v>7.4090636366157689E-2</v>
      </c>
      <c r="R11" s="6">
        <v>7.4090636366157689E-2</v>
      </c>
      <c r="S11" s="6">
        <v>7.4090636366157689E-2</v>
      </c>
      <c r="T11" s="6">
        <v>7.4090636366157689E-2</v>
      </c>
      <c r="U11" s="6">
        <v>7.4090636366157689E-2</v>
      </c>
      <c r="V11" s="6">
        <v>7.4090636366157689E-2</v>
      </c>
      <c r="W11" s="6">
        <v>7.4090636366157689E-2</v>
      </c>
    </row>
    <row r="12" spans="1:23" x14ac:dyDescent="0.25">
      <c r="B12" s="10"/>
      <c r="C12" t="s">
        <v>12</v>
      </c>
      <c r="D12" s="11" t="s">
        <v>13</v>
      </c>
      <c r="F12" s="32"/>
      <c r="I12" t="s">
        <v>47</v>
      </c>
      <c r="J12" s="6">
        <f>J53/J18</f>
        <v>0.21988968609397835</v>
      </c>
      <c r="K12" s="6">
        <f t="shared" ref="K12:L12" si="8">K53/K18</f>
        <v>0.18964434766504776</v>
      </c>
      <c r="L12" s="6">
        <f t="shared" si="8"/>
        <v>0.17954518899812577</v>
      </c>
      <c r="M12" s="6"/>
      <c r="N12" s="6">
        <v>0.17954518899812577</v>
      </c>
      <c r="O12" s="6">
        <v>0.17954518899812577</v>
      </c>
      <c r="P12" s="6">
        <v>0.17954518899812577</v>
      </c>
      <c r="Q12" s="6">
        <v>0.17954518899812577</v>
      </c>
      <c r="R12" s="6">
        <v>0.17954518899812577</v>
      </c>
      <c r="S12" s="6">
        <v>0.17954518899812577</v>
      </c>
      <c r="T12" s="6">
        <v>0.17954518899812577</v>
      </c>
      <c r="U12" s="6">
        <v>0.17954518899812577</v>
      </c>
      <c r="V12" s="6">
        <v>0.17954518899812577</v>
      </c>
      <c r="W12" s="6">
        <v>0.17954518899812577</v>
      </c>
    </row>
    <row r="13" spans="1:23" ht="15.75" x14ac:dyDescent="0.25">
      <c r="A13" s="47" t="s">
        <v>87</v>
      </c>
      <c r="B13" s="47"/>
      <c r="C13" t="s">
        <v>17</v>
      </c>
      <c r="D13" s="11">
        <v>0.27</v>
      </c>
      <c r="I13" t="s">
        <v>99</v>
      </c>
      <c r="J13" s="6"/>
      <c r="K13" s="6">
        <v>5.2444439274786578E-2</v>
      </c>
      <c r="L13" s="6">
        <v>4.7107288373246348E-2</v>
      </c>
      <c r="M13" s="6"/>
      <c r="N13" s="6">
        <v>4.7107288373246348E-2</v>
      </c>
      <c r="O13" s="6">
        <v>4.7107288373246348E-2</v>
      </c>
      <c r="P13" s="6">
        <v>4.7107288373246348E-2</v>
      </c>
      <c r="Q13" s="6">
        <v>4.7107288373246348E-2</v>
      </c>
      <c r="R13" s="6">
        <v>4.7107288373246348E-2</v>
      </c>
      <c r="S13" s="6">
        <v>4.7107288373246348E-2</v>
      </c>
      <c r="T13" s="6">
        <v>4.7107288373246348E-2</v>
      </c>
      <c r="U13" s="6">
        <v>4.7107288373246348E-2</v>
      </c>
      <c r="V13" s="6">
        <v>4.7107288373246348E-2</v>
      </c>
      <c r="W13" s="6">
        <v>4.7107288373246348E-2</v>
      </c>
    </row>
    <row r="14" spans="1:23" x14ac:dyDescent="0.25">
      <c r="A14" t="s">
        <v>36</v>
      </c>
      <c r="B14" s="8">
        <v>-548</v>
      </c>
      <c r="C14" t="s">
        <v>14</v>
      </c>
      <c r="D14" s="11">
        <v>8000</v>
      </c>
    </row>
    <row r="15" spans="1:23" x14ac:dyDescent="0.25">
      <c r="A15" t="s">
        <v>37</v>
      </c>
      <c r="B15" s="8">
        <v>-798</v>
      </c>
      <c r="D15" s="11"/>
    </row>
    <row r="16" spans="1:23" ht="15.75" x14ac:dyDescent="0.25">
      <c r="A16" t="s">
        <v>40</v>
      </c>
      <c r="B16" s="8">
        <v>4215</v>
      </c>
      <c r="D16" s="11"/>
      <c r="I16" s="24" t="s">
        <v>18</v>
      </c>
    </row>
    <row r="17" spans="1:23" x14ac:dyDescent="0.25">
      <c r="D17" s="11"/>
      <c r="I17" s="13" t="s">
        <v>169</v>
      </c>
      <c r="J17" s="18">
        <v>2020</v>
      </c>
      <c r="K17" s="18">
        <v>2021</v>
      </c>
      <c r="L17" s="18">
        <v>2022</v>
      </c>
      <c r="M17" s="13"/>
      <c r="N17" s="14">
        <v>2023</v>
      </c>
      <c r="O17" s="14">
        <v>2024</v>
      </c>
      <c r="P17" s="14">
        <v>2025</v>
      </c>
      <c r="Q17" s="14">
        <v>2026</v>
      </c>
      <c r="R17" s="14">
        <v>2027</v>
      </c>
      <c r="S17" s="14">
        <v>2028</v>
      </c>
      <c r="T17" s="14">
        <v>2029</v>
      </c>
      <c r="U17" s="14">
        <v>2030</v>
      </c>
      <c r="V17" s="14">
        <v>2031</v>
      </c>
      <c r="W17" s="14">
        <v>2032</v>
      </c>
    </row>
    <row r="18" spans="1:23" ht="15.75" customHeight="1" x14ac:dyDescent="0.25">
      <c r="A18" s="47" t="s">
        <v>57</v>
      </c>
      <c r="B18" s="47"/>
      <c r="C18" s="47"/>
      <c r="D18" s="47"/>
      <c r="E18" s="47"/>
      <c r="F18" s="47"/>
      <c r="G18" s="47"/>
      <c r="I18" s="8" t="s">
        <v>19</v>
      </c>
      <c r="J18" s="8">
        <v>65223.613961913579</v>
      </c>
      <c r="K18" s="8">
        <v>69656.702995080399</v>
      </c>
      <c r="L18" s="8">
        <v>78782.395000000004</v>
      </c>
      <c r="M18" s="8"/>
      <c r="N18" s="8">
        <f>L18*(1+N3)</f>
        <v>86660.634500000015</v>
      </c>
      <c r="O18" s="8">
        <f>N18*(1+O3)</f>
        <v>95326.697950000031</v>
      </c>
      <c r="P18" s="8">
        <f t="shared" ref="P18:W18" si="9">O18*(1+P3)</f>
        <v>104859.36774500004</v>
      </c>
      <c r="Q18" s="8">
        <f t="shared" si="9"/>
        <v>112199.52348715004</v>
      </c>
      <c r="R18" s="8">
        <f t="shared" si="9"/>
        <v>120053.49013125055</v>
      </c>
      <c r="S18" s="8">
        <f t="shared" si="9"/>
        <v>128457.2344404381</v>
      </c>
      <c r="T18" s="8">
        <f t="shared" si="9"/>
        <v>134880.09616246002</v>
      </c>
      <c r="U18" s="8">
        <f t="shared" si="9"/>
        <v>141624.10097058304</v>
      </c>
      <c r="V18" s="8">
        <f t="shared" si="9"/>
        <v>147289.06500940636</v>
      </c>
      <c r="W18" s="8">
        <f t="shared" si="9"/>
        <v>151707.73695968857</v>
      </c>
    </row>
    <row r="19" spans="1:23" x14ac:dyDescent="0.25">
      <c r="A19" s="5" t="s">
        <v>59</v>
      </c>
      <c r="B19" s="8">
        <v>-3937.5</v>
      </c>
      <c r="I19" s="8" t="s">
        <v>20</v>
      </c>
      <c r="J19" s="8"/>
      <c r="K19" s="6">
        <v>6.7967546780763444E-2</v>
      </c>
      <c r="L19" s="6">
        <v>0.13100953120856329</v>
      </c>
      <c r="M19" s="8"/>
      <c r="N19" s="6">
        <f>(N18-L18)/L18</f>
        <v>0.10000000000000013</v>
      </c>
      <c r="O19" s="6">
        <f>(O18-N18)/N18</f>
        <v>0.10000000000000017</v>
      </c>
      <c r="P19" s="6">
        <f t="shared" ref="P19:W19" si="10">(P18-O18)/O18</f>
        <v>0.10000000000000006</v>
      </c>
      <c r="Q19" s="6">
        <f t="shared" si="10"/>
        <v>7.0000000000000007E-2</v>
      </c>
      <c r="R19" s="6">
        <f t="shared" si="10"/>
        <v>7.0000000000000062E-2</v>
      </c>
      <c r="S19" s="6">
        <f t="shared" si="10"/>
        <v>7.0000000000000062E-2</v>
      </c>
      <c r="T19" s="6">
        <f t="shared" si="10"/>
        <v>5.0000000000000093E-2</v>
      </c>
      <c r="U19" s="6">
        <f t="shared" si="10"/>
        <v>5.0000000000000142E-2</v>
      </c>
      <c r="V19" s="6">
        <f t="shared" si="10"/>
        <v>4.0000000000000015E-2</v>
      </c>
      <c r="W19" s="6">
        <f t="shared" si="10"/>
        <v>3.0000000000000124E-2</v>
      </c>
    </row>
    <row r="20" spans="1:23" x14ac:dyDescent="0.25">
      <c r="A20" s="5" t="s">
        <v>60</v>
      </c>
      <c r="B20" s="8">
        <v>-3550</v>
      </c>
      <c r="I20" s="8" t="s">
        <v>21</v>
      </c>
      <c r="J20" s="8">
        <f>J4*J18</f>
        <v>-28649.234484139219</v>
      </c>
      <c r="K20" s="8">
        <f t="shared" ref="K20:L20" si="11">K4*K18</f>
        <v>-37549.178559576176</v>
      </c>
      <c r="L20" s="8">
        <f t="shared" si="11"/>
        <v>-41433.717000000004</v>
      </c>
      <c r="M20" s="8"/>
      <c r="N20" s="8">
        <f>N4*N18</f>
        <v>-43452.59432431106</v>
      </c>
      <c r="O20" s="8">
        <f t="shared" ref="O20:W20" si="12">O4*O18</f>
        <v>-47797.853756742174</v>
      </c>
      <c r="P20" s="8">
        <f t="shared" si="12"/>
        <v>-52577.6391324164</v>
      </c>
      <c r="Q20" s="8">
        <f t="shared" si="12"/>
        <v>-56258.073871685549</v>
      </c>
      <c r="R20" s="8">
        <f t="shared" si="12"/>
        <v>-60196.139042703537</v>
      </c>
      <c r="S20" s="8">
        <f t="shared" si="12"/>
        <v>-64409.86877569279</v>
      </c>
      <c r="T20" s="8">
        <f t="shared" si="12"/>
        <v>-67630.362214477427</v>
      </c>
      <c r="U20" s="8">
        <f t="shared" si="12"/>
        <v>-71011.880325201317</v>
      </c>
      <c r="V20" s="8">
        <f t="shared" si="12"/>
        <v>-73852.355538209362</v>
      </c>
      <c r="W20" s="8">
        <f t="shared" si="12"/>
        <v>-76067.926204355652</v>
      </c>
    </row>
    <row r="21" spans="1:23" x14ac:dyDescent="0.25">
      <c r="I21" s="8" t="s">
        <v>22</v>
      </c>
      <c r="J21" s="6">
        <f>J20/J18</f>
        <v>-0.43924635180240917</v>
      </c>
      <c r="K21" s="6">
        <f t="shared" ref="K21:L21" si="13">K20/K18</f>
        <v>-0.53906052030955498</v>
      </c>
      <c r="L21" s="6">
        <f t="shared" si="13"/>
        <v>-0.52592609046729288</v>
      </c>
      <c r="M21" s="8"/>
      <c r="N21" s="6">
        <f>N20/N18</f>
        <v>-0.50141098752641899</v>
      </c>
      <c r="O21" s="6">
        <f t="shared" ref="O21:W21" si="14">O20/O18</f>
        <v>-0.50141098752641899</v>
      </c>
      <c r="P21" s="6">
        <f t="shared" si="14"/>
        <v>-0.50141098752641899</v>
      </c>
      <c r="Q21" s="6">
        <f t="shared" si="14"/>
        <v>-0.50141098752641899</v>
      </c>
      <c r="R21" s="6">
        <f t="shared" si="14"/>
        <v>-0.50141098752641899</v>
      </c>
      <c r="S21" s="6">
        <f t="shared" si="14"/>
        <v>-0.50141098752641899</v>
      </c>
      <c r="T21" s="6">
        <f t="shared" si="14"/>
        <v>-0.50141098752641899</v>
      </c>
      <c r="U21" s="6">
        <f t="shared" si="14"/>
        <v>-0.50141098752641899</v>
      </c>
      <c r="V21" s="6">
        <f t="shared" si="14"/>
        <v>-0.50141098752641899</v>
      </c>
      <c r="W21" s="6">
        <f t="shared" si="14"/>
        <v>-0.50141098752641899</v>
      </c>
    </row>
    <row r="22" spans="1:23" x14ac:dyDescent="0.25">
      <c r="A22" s="5" t="s">
        <v>61</v>
      </c>
      <c r="D22" s="5" t="s">
        <v>67</v>
      </c>
      <c r="E22" s="5" t="s">
        <v>62</v>
      </c>
      <c r="F22" s="5" t="s">
        <v>64</v>
      </c>
      <c r="G22" s="5" t="s">
        <v>68</v>
      </c>
      <c r="I22" s="8" t="s">
        <v>23</v>
      </c>
      <c r="J22" s="8">
        <f>J18+J20</f>
        <v>36574.379477774361</v>
      </c>
      <c r="K22" s="8">
        <f t="shared" ref="K22:L22" si="15">K18+K20</f>
        <v>32107.524435504223</v>
      </c>
      <c r="L22" s="8">
        <f t="shared" si="15"/>
        <v>37348.678</v>
      </c>
      <c r="M22" s="8"/>
      <c r="N22" s="8">
        <f>N18+N20</f>
        <v>43208.040175688955</v>
      </c>
      <c r="O22" s="8">
        <f>O18+O20</f>
        <v>47528.844193257857</v>
      </c>
      <c r="P22" s="8">
        <f t="shared" ref="P22:W22" si="16">P18+P20</f>
        <v>52281.72861258364</v>
      </c>
      <c r="Q22" s="8">
        <f t="shared" si="16"/>
        <v>55941.449615464495</v>
      </c>
      <c r="R22" s="8">
        <f t="shared" si="16"/>
        <v>59857.351088547017</v>
      </c>
      <c r="S22" s="8">
        <f t="shared" si="16"/>
        <v>64047.36566474531</v>
      </c>
      <c r="T22" s="8">
        <f t="shared" si="16"/>
        <v>67249.73394798259</v>
      </c>
      <c r="U22" s="8">
        <f t="shared" si="16"/>
        <v>70612.22064538172</v>
      </c>
      <c r="V22" s="8">
        <f t="shared" si="16"/>
        <v>73436.709471196998</v>
      </c>
      <c r="W22" s="8">
        <f t="shared" si="16"/>
        <v>75639.810755332917</v>
      </c>
    </row>
    <row r="23" spans="1:23" x14ac:dyDescent="0.25">
      <c r="A23" t="s">
        <v>66</v>
      </c>
      <c r="B23" s="7">
        <v>8.0000000000000002E-3</v>
      </c>
      <c r="C23" t="s">
        <v>170</v>
      </c>
      <c r="D23" s="8">
        <f>-B23*G23</f>
        <v>-1500</v>
      </c>
      <c r="E23" t="s">
        <v>63</v>
      </c>
      <c r="F23">
        <v>0</v>
      </c>
      <c r="G23" s="8">
        <v>187500</v>
      </c>
      <c r="I23" s="8" t="s">
        <v>24</v>
      </c>
      <c r="J23" s="6">
        <f>J22/J$18</f>
        <v>0.56075364819759088</v>
      </c>
      <c r="K23" s="6">
        <f t="shared" ref="K23:L23" si="17">K22/K$18</f>
        <v>0.46093947969044502</v>
      </c>
      <c r="L23" s="6">
        <f t="shared" si="17"/>
        <v>0.47407390953270712</v>
      </c>
      <c r="M23" s="6"/>
      <c r="N23" s="6">
        <f>N22/N$18</f>
        <v>0.49858901247358106</v>
      </c>
      <c r="O23" s="6">
        <f t="shared" ref="O23" si="18">O22/O$18</f>
        <v>0.49858901247358106</v>
      </c>
      <c r="P23" s="6">
        <f t="shared" ref="P23" si="19">P22/P$18</f>
        <v>0.49858901247358101</v>
      </c>
      <c r="Q23" s="6">
        <f t="shared" ref="Q23" si="20">Q22/Q$18</f>
        <v>0.49858901247358095</v>
      </c>
      <c r="R23" s="6">
        <f t="shared" ref="R23" si="21">R22/R$18</f>
        <v>0.49858901247358101</v>
      </c>
      <c r="S23" s="6">
        <f t="shared" ref="S23" si="22">S22/S$18</f>
        <v>0.49858901247358101</v>
      </c>
      <c r="T23" s="6">
        <f t="shared" ref="T23" si="23">T22/T$18</f>
        <v>0.49858901247358106</v>
      </c>
      <c r="U23" s="6">
        <f t="shared" ref="U23" si="24">U22/U$18</f>
        <v>0.49858901247358101</v>
      </c>
      <c r="V23" s="6">
        <f t="shared" ref="V23" si="25">V22/V$18</f>
        <v>0.49858901247358106</v>
      </c>
      <c r="W23" s="6">
        <f t="shared" ref="W23" si="26">W22/W$18</f>
        <v>0.49858901247358106</v>
      </c>
    </row>
    <row r="24" spans="1:23" x14ac:dyDescent="0.25">
      <c r="A24" t="s">
        <v>65</v>
      </c>
      <c r="B24" s="7">
        <v>8.0000000000000002E-3</v>
      </c>
      <c r="C24" t="s">
        <v>170</v>
      </c>
      <c r="D24" s="8">
        <f t="shared" ref="D24:D31" si="27">-B24*G24</f>
        <v>-1500</v>
      </c>
      <c r="E24" t="s">
        <v>63</v>
      </c>
      <c r="F24">
        <v>0</v>
      </c>
      <c r="G24" s="8">
        <v>187500</v>
      </c>
      <c r="I24" s="8" t="s">
        <v>25</v>
      </c>
      <c r="J24" s="8">
        <f>J5*J18</f>
        <v>-14046.108471862057</v>
      </c>
      <c r="K24" s="8">
        <f t="shared" ref="K24:W24" si="28">K5*K18</f>
        <v>-19233.201175921156</v>
      </c>
      <c r="L24" s="8">
        <f t="shared" si="28"/>
        <v>-23019.120000000003</v>
      </c>
      <c r="M24" s="8"/>
      <c r="N24" s="8">
        <f t="shared" si="28"/>
        <v>-22637.298954094604</v>
      </c>
      <c r="O24" s="8">
        <f t="shared" si="28"/>
        <v>-24901.02884950407</v>
      </c>
      <c r="P24" s="8">
        <f t="shared" si="28"/>
        <v>-27391.131734454477</v>
      </c>
      <c r="Q24" s="8">
        <f t="shared" si="28"/>
        <v>-29308.510955866292</v>
      </c>
      <c r="R24" s="8">
        <f t="shared" si="28"/>
        <v>-31360.106722776934</v>
      </c>
      <c r="S24" s="8">
        <f t="shared" si="28"/>
        <v>-33555.31419337132</v>
      </c>
      <c r="T24" s="8">
        <f t="shared" si="28"/>
        <v>-35233.079903039892</v>
      </c>
      <c r="U24" s="8">
        <f t="shared" si="28"/>
        <v>-36994.733898191887</v>
      </c>
      <c r="V24" s="8">
        <f t="shared" si="28"/>
        <v>-38474.523254119566</v>
      </c>
      <c r="W24" s="8">
        <f t="shared" si="28"/>
        <v>-39628.758951743155</v>
      </c>
    </row>
    <row r="25" spans="1:23" x14ac:dyDescent="0.25">
      <c r="B25" s="7"/>
      <c r="D25" s="8"/>
      <c r="G25" s="8"/>
      <c r="I25" s="8" t="s">
        <v>22</v>
      </c>
      <c r="J25" s="6">
        <f>J24/J$18</f>
        <v>-0.21535311551525013</v>
      </c>
      <c r="K25" s="6">
        <f t="shared" ref="K25:W25" si="29">K24/K$18</f>
        <v>-0.27611414765467046</v>
      </c>
      <c r="L25" s="6">
        <f t="shared" si="29"/>
        <v>-0.29218609055995315</v>
      </c>
      <c r="M25" s="6"/>
      <c r="N25" s="6">
        <f t="shared" si="29"/>
        <v>-0.26121778457662459</v>
      </c>
      <c r="O25" s="6">
        <f t="shared" si="29"/>
        <v>-0.26121778457662459</v>
      </c>
      <c r="P25" s="6">
        <f t="shared" si="29"/>
        <v>-0.26121778457662459</v>
      </c>
      <c r="Q25" s="6">
        <f t="shared" si="29"/>
        <v>-0.26121778457662459</v>
      </c>
      <c r="R25" s="6">
        <f t="shared" si="29"/>
        <v>-0.26121778457662459</v>
      </c>
      <c r="S25" s="6">
        <f t="shared" si="29"/>
        <v>-0.26121778457662459</v>
      </c>
      <c r="T25" s="6">
        <f t="shared" si="29"/>
        <v>-0.26121778457662459</v>
      </c>
      <c r="U25" s="6">
        <f t="shared" si="29"/>
        <v>-0.26121778457662459</v>
      </c>
      <c r="V25" s="6">
        <f t="shared" si="29"/>
        <v>-0.26121778457662459</v>
      </c>
      <c r="W25" s="6">
        <f t="shared" si="29"/>
        <v>-0.26121778457662459</v>
      </c>
    </row>
    <row r="26" spans="1:23" x14ac:dyDescent="0.25">
      <c r="A26" s="5" t="s">
        <v>69</v>
      </c>
      <c r="B26" s="7"/>
      <c r="D26" s="8"/>
      <c r="G26" s="8"/>
      <c r="I26" s="8" t="s">
        <v>26</v>
      </c>
      <c r="J26" s="8">
        <f>J22+J24</f>
        <v>22528.271005912306</v>
      </c>
      <c r="K26" s="8">
        <f t="shared" ref="K26:L26" si="30">K22+K24</f>
        <v>12874.323259583067</v>
      </c>
      <c r="L26" s="8">
        <f t="shared" si="30"/>
        <v>14329.557999999997</v>
      </c>
      <c r="M26" s="8"/>
      <c r="N26" s="8">
        <f>N22+N24</f>
        <v>20570.741221594351</v>
      </c>
      <c r="O26" s="8">
        <f t="shared" ref="O26:W26" si="31">O22+O24</f>
        <v>22627.815343753788</v>
      </c>
      <c r="P26" s="8">
        <f t="shared" si="31"/>
        <v>24890.596878129163</v>
      </c>
      <c r="Q26" s="8">
        <f t="shared" si="31"/>
        <v>26632.938659598203</v>
      </c>
      <c r="R26" s="8">
        <f t="shared" si="31"/>
        <v>28497.244365770082</v>
      </c>
      <c r="S26" s="8">
        <f t="shared" si="31"/>
        <v>30492.05147137399</v>
      </c>
      <c r="T26" s="8">
        <f t="shared" si="31"/>
        <v>32016.654044942698</v>
      </c>
      <c r="U26" s="8">
        <f t="shared" si="31"/>
        <v>33617.486747189832</v>
      </c>
      <c r="V26" s="8">
        <f t="shared" si="31"/>
        <v>34962.186217077433</v>
      </c>
      <c r="W26" s="8">
        <f t="shared" si="31"/>
        <v>36011.051803589762</v>
      </c>
    </row>
    <row r="27" spans="1:23" x14ac:dyDescent="0.25">
      <c r="A27" t="s">
        <v>70</v>
      </c>
      <c r="B27" s="7">
        <v>2.5000000000000001E-2</v>
      </c>
      <c r="C27" s="9" t="s">
        <v>71</v>
      </c>
      <c r="D27" s="8">
        <f t="shared" si="27"/>
        <v>-1000</v>
      </c>
      <c r="E27" s="9" t="s">
        <v>74</v>
      </c>
      <c r="F27">
        <v>7</v>
      </c>
      <c r="G27" s="8">
        <v>40000</v>
      </c>
      <c r="I27" s="8" t="s">
        <v>27</v>
      </c>
      <c r="J27" s="8">
        <v>-1337.5114134600308</v>
      </c>
      <c r="K27" s="8">
        <v>-1510.3767303073387</v>
      </c>
      <c r="L27" s="8">
        <v>-1870.3969999999999</v>
      </c>
      <c r="M27" s="8"/>
      <c r="N27" s="8">
        <f>N112+N139</f>
        <v>-2688.3374761904761</v>
      </c>
      <c r="O27" s="8">
        <f t="shared" ref="O27:W27" si="32">O112+O139</f>
        <v>-3061.3374761904761</v>
      </c>
      <c r="P27" s="8">
        <f t="shared" si="32"/>
        <v>-3434.3374761904761</v>
      </c>
      <c r="Q27" s="8">
        <f t="shared" si="32"/>
        <v>-3807.3374761904761</v>
      </c>
      <c r="R27" s="8">
        <f t="shared" si="32"/>
        <v>-4180.3374761904761</v>
      </c>
      <c r="S27" s="8">
        <f t="shared" si="32"/>
        <v>-4553.3374761904761</v>
      </c>
      <c r="T27" s="8">
        <f t="shared" si="32"/>
        <v>-4926.3374761904761</v>
      </c>
      <c r="U27" s="8">
        <f t="shared" si="32"/>
        <v>-5156.480333333333</v>
      </c>
      <c r="V27" s="8">
        <f t="shared" si="32"/>
        <v>-5360.730333333333</v>
      </c>
      <c r="W27" s="8">
        <f t="shared" si="32"/>
        <v>-5600.3969999999999</v>
      </c>
    </row>
    <row r="28" spans="1:23" x14ac:dyDescent="0.25">
      <c r="A28" t="s">
        <v>72</v>
      </c>
      <c r="B28" s="7">
        <v>2.2499999999999999E-2</v>
      </c>
      <c r="C28" s="9" t="s">
        <v>71</v>
      </c>
      <c r="D28" s="8">
        <f t="shared" si="27"/>
        <v>-1350</v>
      </c>
      <c r="E28" s="9" t="s">
        <v>74</v>
      </c>
      <c r="F28">
        <v>8</v>
      </c>
      <c r="G28" s="8">
        <v>60000</v>
      </c>
      <c r="I28" s="8" t="s">
        <v>28</v>
      </c>
      <c r="J28" s="8">
        <f>J26+J27</f>
        <v>21190.759592452276</v>
      </c>
      <c r="K28" s="8">
        <f t="shared" ref="K28:L28" si="33">K26+K27</f>
        <v>11363.946529275729</v>
      </c>
      <c r="L28" s="8">
        <f t="shared" si="33"/>
        <v>12459.160999999996</v>
      </c>
      <c r="M28" s="8"/>
      <c r="N28" s="8">
        <f>N26+N27</f>
        <v>17882.403745403877</v>
      </c>
      <c r="O28" s="8">
        <f t="shared" ref="O28:W28" si="34">O26+O27</f>
        <v>19566.477867563313</v>
      </c>
      <c r="P28" s="8">
        <f t="shared" si="34"/>
        <v>21456.259401938689</v>
      </c>
      <c r="Q28" s="8">
        <f t="shared" si="34"/>
        <v>22825.601183407729</v>
      </c>
      <c r="R28" s="8">
        <f t="shared" si="34"/>
        <v>24316.906889579608</v>
      </c>
      <c r="S28" s="8">
        <f t="shared" si="34"/>
        <v>25938.713995183512</v>
      </c>
      <c r="T28" s="8">
        <f t="shared" si="34"/>
        <v>27090.31656875222</v>
      </c>
      <c r="U28" s="8">
        <f t="shared" si="34"/>
        <v>28461.006413856499</v>
      </c>
      <c r="V28" s="8">
        <f t="shared" si="34"/>
        <v>29601.4558837441</v>
      </c>
      <c r="W28" s="8">
        <f t="shared" si="34"/>
        <v>30410.654803589761</v>
      </c>
    </row>
    <row r="29" spans="1:23" x14ac:dyDescent="0.25">
      <c r="A29" t="s">
        <v>73</v>
      </c>
      <c r="B29" s="7">
        <v>0.02</v>
      </c>
      <c r="C29" s="9" t="s">
        <v>71</v>
      </c>
      <c r="D29" s="8">
        <f t="shared" si="27"/>
        <v>-1200</v>
      </c>
      <c r="E29" t="s">
        <v>74</v>
      </c>
      <c r="F29">
        <v>9</v>
      </c>
      <c r="G29" s="8">
        <v>60000</v>
      </c>
      <c r="I29" s="8" t="s">
        <v>29</v>
      </c>
      <c r="J29" s="8">
        <v>-237.70412868917001</v>
      </c>
      <c r="K29" s="8">
        <v>-281.80288722760201</v>
      </c>
      <c r="L29" s="8">
        <v>-225</v>
      </c>
      <c r="M29" s="8"/>
      <c r="N29" s="8">
        <f ca="1">N162+N167+N172+N188</f>
        <v>-9327.114970726283</v>
      </c>
      <c r="O29" s="8">
        <f t="shared" ref="O29:W29" ca="1" si="35">O162+O167+O172+O188</f>
        <v>-9999.0356972283826</v>
      </c>
      <c r="P29" s="8">
        <f t="shared" ca="1" si="35"/>
        <v>-9743.1057465870326</v>
      </c>
      <c r="Q29" s="8">
        <f t="shared" ca="1" si="35"/>
        <v>-10155.73583326006</v>
      </c>
      <c r="R29" s="8">
        <f t="shared" ca="1" si="35"/>
        <v>-9675.5633406186862</v>
      </c>
      <c r="S29" s="8">
        <f t="shared" ca="1" si="35"/>
        <v>-9077.7512290342565</v>
      </c>
      <c r="T29" s="8">
        <f t="shared" ca="1" si="35"/>
        <v>-8477.7512290342565</v>
      </c>
      <c r="U29" s="8">
        <f t="shared" ca="1" si="35"/>
        <v>-10707.471096952833</v>
      </c>
      <c r="V29" s="8">
        <f t="shared" ca="1" si="35"/>
        <v>-7868.5528341026038</v>
      </c>
      <c r="W29" s="8">
        <f t="shared" ca="1" si="35"/>
        <v>-8443.2202108666352</v>
      </c>
    </row>
    <row r="30" spans="1:23" x14ac:dyDescent="0.25">
      <c r="B30" s="7"/>
      <c r="D30" s="8">
        <f t="shared" si="27"/>
        <v>0</v>
      </c>
      <c r="G30" s="8"/>
      <c r="I30" s="8" t="s">
        <v>30</v>
      </c>
      <c r="J30" s="8">
        <f>J28+J29</f>
        <v>20953.055463763107</v>
      </c>
      <c r="K30" s="8">
        <f t="shared" ref="K30:L30" si="36">K28+K29</f>
        <v>11082.143642048126</v>
      </c>
      <c r="L30" s="8">
        <f t="shared" si="36"/>
        <v>12234.160999999996</v>
      </c>
      <c r="M30" s="8"/>
      <c r="N30" s="8">
        <f ca="1">N28+N29</f>
        <v>8555.2887746775941</v>
      </c>
      <c r="O30" s="8">
        <f t="shared" ref="O30:W30" ca="1" si="37">O28+O29</f>
        <v>9567.4421703349308</v>
      </c>
      <c r="P30" s="8">
        <f t="shared" ca="1" si="37"/>
        <v>11713.153655351656</v>
      </c>
      <c r="Q30" s="8">
        <f t="shared" ca="1" si="37"/>
        <v>12669.865350147669</v>
      </c>
      <c r="R30" s="8">
        <f t="shared" ca="1" si="37"/>
        <v>14641.343548960922</v>
      </c>
      <c r="S30" s="8">
        <f t="shared" ca="1" si="37"/>
        <v>16860.962766149256</v>
      </c>
      <c r="T30" s="8">
        <f t="shared" ca="1" si="37"/>
        <v>18612.565339717963</v>
      </c>
      <c r="U30" s="8">
        <f t="shared" ca="1" si="37"/>
        <v>17753.535316903668</v>
      </c>
      <c r="V30" s="8">
        <f t="shared" ca="1" si="37"/>
        <v>21732.903049641496</v>
      </c>
      <c r="W30" s="8">
        <f t="shared" ca="1" si="37"/>
        <v>21967.434592723126</v>
      </c>
    </row>
    <row r="31" spans="1:23" x14ac:dyDescent="0.25">
      <c r="A31" s="5" t="s">
        <v>75</v>
      </c>
      <c r="B31" s="7">
        <v>5.0000000000000001E-3</v>
      </c>
      <c r="C31" t="s">
        <v>170</v>
      </c>
      <c r="D31" s="8">
        <f t="shared" si="27"/>
        <v>-937.5</v>
      </c>
      <c r="E31" t="s">
        <v>63</v>
      </c>
      <c r="F31">
        <v>0</v>
      </c>
      <c r="G31" s="8">
        <v>187500</v>
      </c>
      <c r="I31" s="8" t="s">
        <v>31</v>
      </c>
      <c r="J31" s="8">
        <v>-3115.6416928968301</v>
      </c>
      <c r="K31" s="8">
        <v>-3561.1509553394399</v>
      </c>
      <c r="L31" s="8">
        <v>-3115.9799999999996</v>
      </c>
      <c r="M31" s="8"/>
      <c r="N31" s="8">
        <f ca="1">IF(N30&gt;0,-N30*$D$13,0)</f>
        <v>-2309.9279691629504</v>
      </c>
      <c r="O31" s="8">
        <f t="shared" ref="O31:W31" ca="1" si="38">IF(O30&gt;0,-O30*$D$13,0)</f>
        <v>-2583.2093859904317</v>
      </c>
      <c r="P31" s="8">
        <f t="shared" ca="1" si="38"/>
        <v>-3162.5514869449476</v>
      </c>
      <c r="Q31" s="8">
        <f t="shared" ca="1" si="38"/>
        <v>-3420.8636445398711</v>
      </c>
      <c r="R31" s="8">
        <f t="shared" ca="1" si="38"/>
        <v>-3953.1627582194492</v>
      </c>
      <c r="S31" s="8">
        <f t="shared" ca="1" si="38"/>
        <v>-4552.4599468602992</v>
      </c>
      <c r="T31" s="8">
        <f t="shared" ca="1" si="38"/>
        <v>-5025.3926417238499</v>
      </c>
      <c r="U31" s="8">
        <f t="shared" ca="1" si="38"/>
        <v>-4793.4545355639902</v>
      </c>
      <c r="V31" s="8">
        <f t="shared" ca="1" si="38"/>
        <v>-5867.8838234032046</v>
      </c>
      <c r="W31" s="8">
        <f t="shared" ca="1" si="38"/>
        <v>-5931.2073400352447</v>
      </c>
    </row>
    <row r="32" spans="1:23" x14ac:dyDescent="0.25">
      <c r="I32" s="20" t="s">
        <v>32</v>
      </c>
      <c r="J32" s="20">
        <f>J30+J31</f>
        <v>17837.413770866275</v>
      </c>
      <c r="K32" s="20">
        <f t="shared" ref="K32:L32" si="39">K30+K31</f>
        <v>7520.9926867086861</v>
      </c>
      <c r="L32" s="20">
        <f t="shared" si="39"/>
        <v>9118.1809999999969</v>
      </c>
      <c r="M32" s="20"/>
      <c r="N32" s="20">
        <f ca="1">N30+N31</f>
        <v>6245.3608055146433</v>
      </c>
      <c r="O32" s="20">
        <f t="shared" ref="O32:W32" ca="1" si="40">O30+O31</f>
        <v>6984.2327843444991</v>
      </c>
      <c r="P32" s="20">
        <f t="shared" ca="1" si="40"/>
        <v>8550.6021684067091</v>
      </c>
      <c r="Q32" s="20">
        <f t="shared" ca="1" si="40"/>
        <v>9249.0017056077977</v>
      </c>
      <c r="R32" s="20">
        <f t="shared" ca="1" si="40"/>
        <v>10688.180790741473</v>
      </c>
      <c r="S32" s="20">
        <f t="shared" ca="1" si="40"/>
        <v>12308.502819288957</v>
      </c>
      <c r="T32" s="20">
        <f t="shared" ca="1" si="40"/>
        <v>13587.172697994112</v>
      </c>
      <c r="U32" s="20">
        <f t="shared" ca="1" si="40"/>
        <v>12960.080781339679</v>
      </c>
      <c r="V32" s="20">
        <f t="shared" ca="1" si="40"/>
        <v>15865.019226238292</v>
      </c>
      <c r="W32" s="20">
        <f t="shared" ca="1" si="40"/>
        <v>16036.227252687881</v>
      </c>
    </row>
    <row r="33" spans="1:23" ht="15.75" customHeight="1" x14ac:dyDescent="0.25">
      <c r="A33" s="47" t="s">
        <v>76</v>
      </c>
      <c r="B33" s="47"/>
      <c r="C33" s="47"/>
      <c r="D33" s="47"/>
    </row>
    <row r="34" spans="1:23" x14ac:dyDescent="0.25">
      <c r="A34" s="5" t="s">
        <v>78</v>
      </c>
      <c r="C34" s="5" t="s">
        <v>80</v>
      </c>
      <c r="D34" s="8"/>
      <c r="N34" s="34"/>
    </row>
    <row r="35" spans="1:23" ht="15.75" x14ac:dyDescent="0.25">
      <c r="A35" t="s">
        <v>77</v>
      </c>
      <c r="B35">
        <v>0</v>
      </c>
      <c r="C35" t="s">
        <v>82</v>
      </c>
      <c r="D35" s="8">
        <v>187500</v>
      </c>
      <c r="I35" s="23" t="s">
        <v>34</v>
      </c>
    </row>
    <row r="36" spans="1:23" x14ac:dyDescent="0.25">
      <c r="A36" t="s">
        <v>70</v>
      </c>
      <c r="B36">
        <v>40000</v>
      </c>
      <c r="C36" t="s">
        <v>84</v>
      </c>
      <c r="D36" s="8">
        <f>B59</f>
        <v>8531.51296</v>
      </c>
      <c r="I36" s="13" t="s">
        <v>169</v>
      </c>
      <c r="J36" s="18">
        <v>2020</v>
      </c>
      <c r="K36" s="18">
        <v>2021</v>
      </c>
      <c r="L36" s="18">
        <v>2022</v>
      </c>
      <c r="M36" s="13" t="s">
        <v>51</v>
      </c>
      <c r="N36" s="14">
        <v>2023</v>
      </c>
      <c r="O36" s="14">
        <v>2024</v>
      </c>
      <c r="P36" s="14">
        <v>2025</v>
      </c>
      <c r="Q36" s="14">
        <v>2026</v>
      </c>
      <c r="R36" s="14">
        <v>2027</v>
      </c>
      <c r="S36" s="14">
        <v>2028</v>
      </c>
      <c r="T36" s="14">
        <v>2029</v>
      </c>
      <c r="U36" s="14">
        <v>2030</v>
      </c>
      <c r="V36" s="14">
        <v>2031</v>
      </c>
      <c r="W36" s="14">
        <v>2032</v>
      </c>
    </row>
    <row r="37" spans="1:23" x14ac:dyDescent="0.25">
      <c r="A37" t="s">
        <v>72</v>
      </c>
      <c r="B37">
        <v>60000</v>
      </c>
      <c r="C37" t="s">
        <v>83</v>
      </c>
      <c r="D37" s="8">
        <f>-(B19+B20)</f>
        <v>7487.5</v>
      </c>
      <c r="I37" s="8" t="s">
        <v>35</v>
      </c>
      <c r="J37" s="8">
        <v>6880.0800000000017</v>
      </c>
      <c r="K37" s="8">
        <v>19866.358748075221</v>
      </c>
      <c r="L37" s="8">
        <v>8820.1102079991742</v>
      </c>
      <c r="M37" s="8">
        <v>8820.1102079991761</v>
      </c>
      <c r="N37" s="8">
        <f ca="1">M37+N84</f>
        <v>8000</v>
      </c>
      <c r="O37" s="8">
        <f t="shared" ref="O37:W37" ca="1" si="41">N37+O84</f>
        <v>8001.4575682142677</v>
      </c>
      <c r="P37" s="8">
        <f t="shared" ca="1" si="41"/>
        <v>8001.4363315244336</v>
      </c>
      <c r="Q37" s="8">
        <f t="shared" ca="1" si="41"/>
        <v>8001.4040351547592</v>
      </c>
      <c r="R37" s="8">
        <f t="shared" ca="1" si="41"/>
        <v>8001.3622135612131</v>
      </c>
      <c r="S37" s="8">
        <f t="shared" ca="1" si="41"/>
        <v>8001.311019753939</v>
      </c>
      <c r="T37" s="8">
        <f t="shared" ca="1" si="41"/>
        <v>9723.5170371119184</v>
      </c>
      <c r="U37" s="8">
        <f t="shared" ca="1" si="41"/>
        <v>6024.008927376608</v>
      </c>
      <c r="V37" s="8">
        <f t="shared" ca="1" si="41"/>
        <v>6023.9395825860884</v>
      </c>
      <c r="W37" s="8">
        <f t="shared" ca="1" si="41"/>
        <v>6023.8615244102257</v>
      </c>
    </row>
    <row r="38" spans="1:23" x14ac:dyDescent="0.25">
      <c r="A38" t="s">
        <v>73</v>
      </c>
      <c r="B38">
        <v>60000</v>
      </c>
      <c r="D38" s="8"/>
      <c r="I38" s="8" t="s">
        <v>36</v>
      </c>
      <c r="J38" s="8">
        <v>7823.6718099999998</v>
      </c>
      <c r="K38" s="8">
        <v>9112.2839399999993</v>
      </c>
      <c r="L38" s="8">
        <v>7669.1698500000002</v>
      </c>
      <c r="M38" s="8">
        <v>7121.1698500000002</v>
      </c>
      <c r="N38" s="8">
        <f>N89</f>
        <v>8436.0868350000001</v>
      </c>
      <c r="O38" s="8">
        <f t="shared" ref="O38:W38" si="42">O89</f>
        <v>9279.6955185000024</v>
      </c>
      <c r="P38" s="8">
        <f t="shared" si="42"/>
        <v>10207.665070350002</v>
      </c>
      <c r="Q38" s="8">
        <f t="shared" si="42"/>
        <v>10922.201625274503</v>
      </c>
      <c r="R38" s="8">
        <f t="shared" si="42"/>
        <v>11686.75573904372</v>
      </c>
      <c r="S38" s="8">
        <f t="shared" si="42"/>
        <v>12504.828640776781</v>
      </c>
      <c r="T38" s="8">
        <f t="shared" si="42"/>
        <v>13130.070072815621</v>
      </c>
      <c r="U38" s="8">
        <f t="shared" si="42"/>
        <v>13786.573576456403</v>
      </c>
      <c r="V38" s="8">
        <f t="shared" si="42"/>
        <v>14338.036519514659</v>
      </c>
      <c r="W38" s="8">
        <f t="shared" si="42"/>
        <v>14768.177615100101</v>
      </c>
    </row>
    <row r="39" spans="1:23" x14ac:dyDescent="0.25">
      <c r="A39" t="s">
        <v>81</v>
      </c>
      <c r="B39" s="8">
        <v>43519.012959999993</v>
      </c>
      <c r="C39" s="8"/>
      <c r="D39" s="8"/>
      <c r="I39" s="8" t="s">
        <v>37</v>
      </c>
      <c r="J39" s="8">
        <v>8631.9470099999999</v>
      </c>
      <c r="K39" s="8">
        <v>10494.88005</v>
      </c>
      <c r="L39" s="8">
        <v>10325.6981</v>
      </c>
      <c r="M39" s="8">
        <v>9527.6980999999996</v>
      </c>
      <c r="N39" s="8">
        <f>N90</f>
        <v>10585.922931833298</v>
      </c>
      <c r="O39" s="8">
        <f t="shared" ref="O39:W39" si="43">O90</f>
        <v>11856.233683653294</v>
      </c>
      <c r="P39" s="8">
        <f t="shared" si="43"/>
        <v>13278.98172569169</v>
      </c>
      <c r="Q39" s="8">
        <f t="shared" si="43"/>
        <v>14474.090081003944</v>
      </c>
      <c r="R39" s="8">
        <f t="shared" si="43"/>
        <v>15776.758188294298</v>
      </c>
      <c r="S39" s="8">
        <f t="shared" si="43"/>
        <v>17196.66642524079</v>
      </c>
      <c r="T39" s="8">
        <f t="shared" si="43"/>
        <v>18400.433075007644</v>
      </c>
      <c r="U39" s="8">
        <f t="shared" si="43"/>
        <v>19688.463390258181</v>
      </c>
      <c r="V39" s="8">
        <f t="shared" si="43"/>
        <v>20869.771193673674</v>
      </c>
      <c r="W39" s="8">
        <f t="shared" si="43"/>
        <v>21913.259753357357</v>
      </c>
    </row>
    <row r="40" spans="1:23" x14ac:dyDescent="0.25">
      <c r="A40" t="s">
        <v>79</v>
      </c>
      <c r="B40" s="8">
        <v>203519.01295999999</v>
      </c>
      <c r="C40" s="8" t="s">
        <v>79</v>
      </c>
      <c r="D40" s="8">
        <v>203519.01295999999</v>
      </c>
      <c r="I40" s="8" t="s">
        <v>38</v>
      </c>
      <c r="J40" s="8">
        <v>12396.061229999999</v>
      </c>
      <c r="K40" s="8">
        <v>13101.72488</v>
      </c>
      <c r="L40" s="8">
        <v>12617.56342</v>
      </c>
      <c r="M40" s="8">
        <v>12617.56342</v>
      </c>
      <c r="N40" s="8">
        <f>N9*N18</f>
        <v>13879.319762000001</v>
      </c>
      <c r="O40" s="8">
        <f t="shared" ref="O40:W40" si="44">O9*O18</f>
        <v>15267.251738200004</v>
      </c>
      <c r="P40" s="8">
        <f t="shared" si="44"/>
        <v>16793.976912020007</v>
      </c>
      <c r="Q40" s="8">
        <f t="shared" si="44"/>
        <v>17969.555295861406</v>
      </c>
      <c r="R40" s="8">
        <f t="shared" si="44"/>
        <v>19227.424166571705</v>
      </c>
      <c r="S40" s="8">
        <f t="shared" si="44"/>
        <v>20573.343858231725</v>
      </c>
      <c r="T40" s="8">
        <f t="shared" si="44"/>
        <v>21602.011051143316</v>
      </c>
      <c r="U40" s="8">
        <f t="shared" si="44"/>
        <v>22682.111603700483</v>
      </c>
      <c r="V40" s="8">
        <f t="shared" si="44"/>
        <v>23589.396067848502</v>
      </c>
      <c r="W40" s="8">
        <f t="shared" si="44"/>
        <v>24297.077949883962</v>
      </c>
    </row>
    <row r="41" spans="1:23" x14ac:dyDescent="0.25"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</row>
    <row r="42" spans="1:23" ht="18" customHeight="1" x14ac:dyDescent="0.25">
      <c r="A42" s="47" t="s">
        <v>85</v>
      </c>
      <c r="B42" s="47"/>
      <c r="C42" s="47"/>
      <c r="D42" s="47"/>
      <c r="E42" s="47"/>
      <c r="F42" s="47"/>
      <c r="G42" s="47"/>
      <c r="H42" s="47"/>
      <c r="I42" s="8" t="s">
        <v>39</v>
      </c>
      <c r="J42" s="8">
        <v>0</v>
      </c>
      <c r="K42" s="8">
        <v>0</v>
      </c>
      <c r="L42" s="8">
        <v>0</v>
      </c>
      <c r="M42" s="8">
        <v>3550</v>
      </c>
      <c r="N42" s="8">
        <f>M42+N105</f>
        <v>3105.0595238095239</v>
      </c>
      <c r="O42" s="8">
        <f t="shared" ref="O42:W42" si="45">N42+O105</f>
        <v>2660.1190476190477</v>
      </c>
      <c r="P42" s="8">
        <f t="shared" si="45"/>
        <v>2215.1785714285716</v>
      </c>
      <c r="Q42" s="8">
        <f t="shared" si="45"/>
        <v>1770.2380952380954</v>
      </c>
      <c r="R42" s="8">
        <f t="shared" si="45"/>
        <v>1325.2976190476193</v>
      </c>
      <c r="S42" s="8">
        <f t="shared" si="45"/>
        <v>880.357142857143</v>
      </c>
      <c r="T42" s="8">
        <f t="shared" si="45"/>
        <v>435.41666666666674</v>
      </c>
      <c r="U42" s="8">
        <f t="shared" si="45"/>
        <v>133.33333333333337</v>
      </c>
      <c r="V42" s="8">
        <f t="shared" si="45"/>
        <v>0</v>
      </c>
      <c r="W42" s="8">
        <f t="shared" si="45"/>
        <v>0</v>
      </c>
    </row>
    <row r="43" spans="1:23" s="5" customFormat="1" x14ac:dyDescent="0.25">
      <c r="A43" s="5" t="s">
        <v>169</v>
      </c>
      <c r="B43" s="5" t="s">
        <v>89</v>
      </c>
      <c r="C43" s="5" t="s">
        <v>88</v>
      </c>
      <c r="D43" s="5" t="s">
        <v>91</v>
      </c>
      <c r="E43" s="5" t="s">
        <v>90</v>
      </c>
      <c r="I43" s="20" t="s">
        <v>40</v>
      </c>
      <c r="J43" s="20">
        <v>27027.925999999999</v>
      </c>
      <c r="K43" s="20">
        <v>29170.655999999999</v>
      </c>
      <c r="L43" s="20">
        <v>31011.484</v>
      </c>
      <c r="M43" s="20">
        <v>35226.483999999997</v>
      </c>
      <c r="N43" s="20">
        <f>N113</f>
        <v>37065.434500000003</v>
      </c>
      <c r="O43" s="20">
        <f t="shared" ref="O43:W43" si="46">O113</f>
        <v>38939.619750000013</v>
      </c>
      <c r="P43" s="20">
        <f t="shared" si="46"/>
        <v>40889.863225000023</v>
      </c>
      <c r="Q43" s="20">
        <f t="shared" si="46"/>
        <v>42812.881533250031</v>
      </c>
      <c r="R43" s="20">
        <f t="shared" si="46"/>
        <v>44732.87891307754</v>
      </c>
      <c r="S43" s="20">
        <f t="shared" si="46"/>
        <v>46675.753899492971</v>
      </c>
      <c r="T43" s="20">
        <f t="shared" si="46"/>
        <v>48548.192485229178</v>
      </c>
      <c r="U43" s="20">
        <f t="shared" si="46"/>
        <v>50365.322850252196</v>
      </c>
      <c r="V43" s="20">
        <f t="shared" si="46"/>
        <v>52076.314309876136</v>
      </c>
      <c r="W43" s="20">
        <f t="shared" si="46"/>
        <v>53622.45742328879</v>
      </c>
    </row>
    <row r="44" spans="1:23" x14ac:dyDescent="0.25">
      <c r="A44" t="s">
        <v>35</v>
      </c>
      <c r="B44" s="8">
        <v>8820.1102079991742</v>
      </c>
      <c r="C44" s="8"/>
      <c r="D44" s="8">
        <f>B44+C44</f>
        <v>8820.1102079991742</v>
      </c>
      <c r="E44" s="8">
        <f>D44</f>
        <v>8820.1102079991742</v>
      </c>
      <c r="F44" s="8"/>
      <c r="G44" s="8"/>
      <c r="H44" s="8"/>
      <c r="I44" s="8" t="s">
        <v>41</v>
      </c>
      <c r="J44" s="8">
        <v>0</v>
      </c>
      <c r="K44" s="8">
        <v>0</v>
      </c>
      <c r="L44" s="8">
        <v>0</v>
      </c>
      <c r="M44" s="8">
        <v>136926.92641200084</v>
      </c>
      <c r="N44" s="8">
        <f>N118</f>
        <v>136926.92641200084</v>
      </c>
      <c r="O44" s="8">
        <f t="shared" ref="O44:W44" si="47">O118</f>
        <v>136924.23031216208</v>
      </c>
      <c r="P44" s="8">
        <f t="shared" si="47"/>
        <v>136924.2642357107</v>
      </c>
      <c r="Q44" s="8">
        <f t="shared" si="47"/>
        <v>136924.47466490525</v>
      </c>
      <c r="R44" s="8">
        <f t="shared" si="47"/>
        <v>136924.70061007905</v>
      </c>
      <c r="S44" s="8">
        <f t="shared" si="47"/>
        <v>136924.77910428547</v>
      </c>
      <c r="T44" s="8">
        <f t="shared" si="47"/>
        <v>136924.79777192033</v>
      </c>
      <c r="U44" s="8">
        <f t="shared" si="47"/>
        <v>136925.0390624514</v>
      </c>
      <c r="V44" s="8">
        <f t="shared" si="47"/>
        <v>136925.31703409494</v>
      </c>
      <c r="W44" s="8">
        <f t="shared" si="47"/>
        <v>136925.4389186051</v>
      </c>
    </row>
    <row r="45" spans="1:23" x14ac:dyDescent="0.25">
      <c r="A45" t="s">
        <v>36</v>
      </c>
      <c r="B45" s="8">
        <v>7669.1698500000002</v>
      </c>
      <c r="C45" s="8">
        <f>B14</f>
        <v>-548</v>
      </c>
      <c r="D45" s="8">
        <f t="shared" ref="D45:D53" si="48">B45+C45</f>
        <v>7121.1698500000002</v>
      </c>
      <c r="E45" s="8">
        <v>7121.1698500000002</v>
      </c>
      <c r="F45" s="8"/>
      <c r="G45" s="8"/>
      <c r="H45" s="8"/>
      <c r="I45" s="8" t="s">
        <v>42</v>
      </c>
      <c r="J45" s="8">
        <v>20613.742586259799</v>
      </c>
      <c r="K45" s="8">
        <v>13095.380002895487</v>
      </c>
      <c r="L45" s="8">
        <v>13247.685000000003</v>
      </c>
      <c r="M45" s="8">
        <v>13247.685000000003</v>
      </c>
      <c r="N45" s="8">
        <f>N10*N18</f>
        <v>14572.453500000005</v>
      </c>
      <c r="O45" s="8">
        <f t="shared" ref="O45:W45" si="49">O10*O18</f>
        <v>16029.698850000008</v>
      </c>
      <c r="P45" s="8">
        <f t="shared" si="49"/>
        <v>17632.66873500001</v>
      </c>
      <c r="Q45" s="8">
        <f t="shared" si="49"/>
        <v>18866.955546450008</v>
      </c>
      <c r="R45" s="8">
        <f t="shared" si="49"/>
        <v>20187.642434701513</v>
      </c>
      <c r="S45" s="8">
        <f t="shared" si="49"/>
        <v>21600.777405130619</v>
      </c>
      <c r="T45" s="8">
        <f t="shared" si="49"/>
        <v>22680.816275387151</v>
      </c>
      <c r="U45" s="8">
        <f t="shared" si="49"/>
        <v>23814.85708915651</v>
      </c>
      <c r="V45" s="8">
        <f t="shared" si="49"/>
        <v>24767.451372722775</v>
      </c>
      <c r="W45" s="8">
        <f t="shared" si="49"/>
        <v>25510.474913904458</v>
      </c>
    </row>
    <row r="46" spans="1:23" x14ac:dyDescent="0.25">
      <c r="A46" t="s">
        <v>37</v>
      </c>
      <c r="B46" s="8">
        <v>10325.6981</v>
      </c>
      <c r="C46" s="8">
        <f>B15</f>
        <v>-798</v>
      </c>
      <c r="D46" s="8">
        <f t="shared" si="48"/>
        <v>9527.6980999999996</v>
      </c>
      <c r="E46" s="8">
        <v>9527.6980999999996</v>
      </c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</row>
    <row r="47" spans="1:23" x14ac:dyDescent="0.25">
      <c r="A47" t="s">
        <v>38</v>
      </c>
      <c r="B47" s="8">
        <v>12617.56342</v>
      </c>
      <c r="C47" s="8"/>
      <c r="D47" s="8">
        <f t="shared" si="48"/>
        <v>12617.56342</v>
      </c>
      <c r="E47" s="8">
        <v>12617.56342</v>
      </c>
      <c r="F47" s="8"/>
      <c r="G47" s="8"/>
      <c r="H47" s="8"/>
      <c r="I47" s="20" t="s">
        <v>43</v>
      </c>
      <c r="J47" s="20">
        <f>SUM(J37:J45)</f>
        <v>83373.428636259792</v>
      </c>
      <c r="K47" s="20">
        <f t="shared" ref="K47:W47" si="50">SUM(K37:K45)</f>
        <v>94841.283620970702</v>
      </c>
      <c r="L47" s="20">
        <f t="shared" si="50"/>
        <v>83691.710577999169</v>
      </c>
      <c r="M47" s="20">
        <f t="shared" si="50"/>
        <v>227037.63699000003</v>
      </c>
      <c r="N47" s="20">
        <f t="shared" ca="1" si="50"/>
        <v>232571.20346464368</v>
      </c>
      <c r="O47" s="20">
        <f t="shared" ca="1" si="50"/>
        <v>238958.30646834872</v>
      </c>
      <c r="P47" s="20">
        <f t="shared" ca="1" si="50"/>
        <v>245944.03480672545</v>
      </c>
      <c r="Q47" s="20">
        <f t="shared" ca="1" si="50"/>
        <v>251741.80087713801</v>
      </c>
      <c r="R47" s="20">
        <f t="shared" ca="1" si="50"/>
        <v>257862.81988437666</v>
      </c>
      <c r="S47" s="20">
        <f t="shared" ca="1" si="50"/>
        <v>264357.81749576947</v>
      </c>
      <c r="T47" s="20">
        <f t="shared" ca="1" si="50"/>
        <v>271445.25443528179</v>
      </c>
      <c r="U47" s="20">
        <f t="shared" ca="1" si="50"/>
        <v>273419.70983298513</v>
      </c>
      <c r="V47" s="20">
        <f t="shared" ca="1" si="50"/>
        <v>278590.22608031682</v>
      </c>
      <c r="W47" s="20">
        <f t="shared" ca="1" si="50"/>
        <v>283060.74809855002</v>
      </c>
    </row>
    <row r="48" spans="1:23" x14ac:dyDescent="0.25">
      <c r="B48" s="8"/>
      <c r="C48" s="8"/>
      <c r="D48" s="8">
        <f t="shared" si="48"/>
        <v>0</v>
      </c>
      <c r="E48" s="8">
        <v>0</v>
      </c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</row>
    <row r="49" spans="1:23" x14ac:dyDescent="0.25">
      <c r="A49" t="s">
        <v>39</v>
      </c>
      <c r="B49" s="8">
        <v>0</v>
      </c>
      <c r="C49" s="8"/>
      <c r="D49" s="8">
        <f t="shared" si="48"/>
        <v>0</v>
      </c>
      <c r="E49" s="8">
        <f>-B20</f>
        <v>3550</v>
      </c>
      <c r="F49" s="8"/>
      <c r="G49" s="8"/>
      <c r="H49" s="8"/>
      <c r="I49" s="8" t="s">
        <v>44</v>
      </c>
      <c r="J49" s="8">
        <v>5814.7977899999996</v>
      </c>
      <c r="K49" s="8">
        <v>6256.3756599999997</v>
      </c>
      <c r="L49" s="8">
        <v>7474.0862500000003</v>
      </c>
      <c r="M49" s="8">
        <v>7474.0862500000003</v>
      </c>
      <c r="N49" s="8">
        <f>N91</f>
        <v>7662.4457021821036</v>
      </c>
      <c r="O49" s="8">
        <f t="shared" ref="O49:W49" si="51">O91</f>
        <v>8581.9391864439585</v>
      </c>
      <c r="P49" s="8">
        <f t="shared" si="51"/>
        <v>9611.7718888172349</v>
      </c>
      <c r="Q49" s="8">
        <f t="shared" si="51"/>
        <v>10476.831358810787</v>
      </c>
      <c r="R49" s="8">
        <f t="shared" si="51"/>
        <v>11419.746181103757</v>
      </c>
      <c r="S49" s="8">
        <f t="shared" si="51"/>
        <v>12447.523337403096</v>
      </c>
      <c r="T49" s="8">
        <f t="shared" si="51"/>
        <v>13318.849971021316</v>
      </c>
      <c r="U49" s="8">
        <f t="shared" si="51"/>
        <v>14251.169468992808</v>
      </c>
      <c r="V49" s="8">
        <f t="shared" si="51"/>
        <v>15106.239637132378</v>
      </c>
      <c r="W49" s="8">
        <f t="shared" si="51"/>
        <v>15861.551618988995</v>
      </c>
    </row>
    <row r="50" spans="1:23" x14ac:dyDescent="0.25">
      <c r="A50" t="s">
        <v>40</v>
      </c>
      <c r="B50" s="8">
        <v>31011.484</v>
      </c>
      <c r="C50" s="8">
        <f>B16</f>
        <v>4215</v>
      </c>
      <c r="D50" s="8">
        <f t="shared" si="48"/>
        <v>35226.483999999997</v>
      </c>
      <c r="E50" s="8">
        <v>35226.483999999997</v>
      </c>
      <c r="F50" s="8"/>
      <c r="G50" s="8"/>
      <c r="H50" s="8"/>
      <c r="I50" s="8" t="s">
        <v>45</v>
      </c>
      <c r="J50" s="8">
        <v>6824.1654900000003</v>
      </c>
      <c r="K50" s="8">
        <v>6858.3476099999998</v>
      </c>
      <c r="L50" s="8">
        <v>5837.0377799999997</v>
      </c>
      <c r="M50" s="8">
        <v>5837.0377799999997</v>
      </c>
      <c r="N50" s="8">
        <f>N11*N18</f>
        <v>6420.7415580000006</v>
      </c>
      <c r="O50" s="8">
        <f t="shared" ref="O50:W50" si="52">O11*O18</f>
        <v>7062.8157138000015</v>
      </c>
      <c r="P50" s="8">
        <f t="shared" si="52"/>
        <v>7769.0972851800025</v>
      </c>
      <c r="Q50" s="8">
        <f t="shared" si="52"/>
        <v>8312.934095142602</v>
      </c>
      <c r="R50" s="8">
        <f t="shared" si="52"/>
        <v>8894.8394818025863</v>
      </c>
      <c r="S50" s="8">
        <f t="shared" si="52"/>
        <v>9517.4782455287677</v>
      </c>
      <c r="T50" s="8">
        <f t="shared" si="52"/>
        <v>9993.3521578052059</v>
      </c>
      <c r="U50" s="8">
        <f t="shared" si="52"/>
        <v>10493.019765695468</v>
      </c>
      <c r="V50" s="8">
        <f t="shared" si="52"/>
        <v>10912.740556323286</v>
      </c>
      <c r="W50" s="8">
        <f t="shared" si="52"/>
        <v>11240.122773012987</v>
      </c>
    </row>
    <row r="51" spans="1:23" x14ac:dyDescent="0.25">
      <c r="A51" t="s">
        <v>41</v>
      </c>
      <c r="B51" s="8">
        <v>0</v>
      </c>
      <c r="C51" s="8"/>
      <c r="D51" s="8">
        <f t="shared" si="48"/>
        <v>0</v>
      </c>
      <c r="E51" s="8">
        <f>B71</f>
        <v>136926.92641200084</v>
      </c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</row>
    <row r="52" spans="1:23" x14ac:dyDescent="0.25">
      <c r="A52" t="s">
        <v>42</v>
      </c>
      <c r="B52" s="8">
        <v>13247.685000000003</v>
      </c>
      <c r="C52" s="8"/>
      <c r="D52" s="8">
        <f t="shared" si="48"/>
        <v>13247.685000000003</v>
      </c>
      <c r="E52" s="8">
        <v>13247.685000000003</v>
      </c>
      <c r="F52" s="8"/>
      <c r="G52" s="8"/>
      <c r="H52" s="8"/>
      <c r="I52" s="8" t="s">
        <v>46</v>
      </c>
      <c r="J52" s="8">
        <v>5462.3406999999997</v>
      </c>
      <c r="K52" s="8">
        <v>10064.9141</v>
      </c>
      <c r="L52" s="8">
        <v>8531.51296</v>
      </c>
      <c r="M52" s="8">
        <v>160000</v>
      </c>
      <c r="N52" s="8">
        <f ca="1">N161+N166+N171+N187</f>
        <v>157101.6424389469</v>
      </c>
      <c r="O52" s="8">
        <f t="shared" ref="O52:W52" ca="1" si="53">O161+O166+O171+O187</f>
        <v>153387.14262971177</v>
      </c>
      <c r="P52" s="8">
        <f t="shared" ca="1" si="53"/>
        <v>148374.74328782712</v>
      </c>
      <c r="Q52" s="8">
        <f t="shared" ca="1" si="53"/>
        <v>142196.69791575073</v>
      </c>
      <c r="R52" s="8">
        <f t="shared" ca="1" si="53"/>
        <v>134694.54175773356</v>
      </c>
      <c r="S52" s="8">
        <f t="shared" ca="1" si="53"/>
        <v>125721.89036292821</v>
      </c>
      <c r="T52" s="8">
        <f t="shared" ca="1" si="53"/>
        <v>116721.89036292821</v>
      </c>
      <c r="U52" s="8">
        <f t="shared" ca="1" si="53"/>
        <v>103093.38871191042</v>
      </c>
      <c r="V52" s="8">
        <f t="shared" ca="1" si="53"/>
        <v>90106.910426282542</v>
      </c>
      <c r="W52" s="8">
        <f t="shared" ca="1" si="53"/>
        <v>76665.252635832949</v>
      </c>
    </row>
    <row r="53" spans="1:23" x14ac:dyDescent="0.25">
      <c r="B53" s="8"/>
      <c r="C53" s="8"/>
      <c r="D53" s="8">
        <f t="shared" si="48"/>
        <v>0</v>
      </c>
      <c r="E53" s="8">
        <v>0</v>
      </c>
      <c r="F53" s="8"/>
      <c r="G53" s="8"/>
      <c r="H53" s="8"/>
      <c r="I53" s="8" t="s">
        <v>47</v>
      </c>
      <c r="J53" s="8">
        <v>14342</v>
      </c>
      <c r="K53" s="8">
        <v>13210</v>
      </c>
      <c r="L53" s="8">
        <v>14145</v>
      </c>
      <c r="M53" s="8">
        <v>14145</v>
      </c>
      <c r="N53" s="8">
        <f>N12*N18</f>
        <v>15559.500000000002</v>
      </c>
      <c r="O53" s="8">
        <f t="shared" ref="O53:W53" si="54">O12*O18</f>
        <v>17115.450000000004</v>
      </c>
      <c r="P53" s="8">
        <f t="shared" si="54"/>
        <v>18826.995000000006</v>
      </c>
      <c r="Q53" s="8">
        <f t="shared" si="54"/>
        <v>20144.884650000007</v>
      </c>
      <c r="R53" s="8">
        <f t="shared" si="54"/>
        <v>21555.026575500007</v>
      </c>
      <c r="S53" s="8">
        <f t="shared" si="54"/>
        <v>23063.878435785009</v>
      </c>
      <c r="T53" s="8">
        <f t="shared" si="54"/>
        <v>24217.072357574263</v>
      </c>
      <c r="U53" s="8">
        <f t="shared" si="54"/>
        <v>25427.925975452978</v>
      </c>
      <c r="V53" s="8">
        <f t="shared" si="54"/>
        <v>26445.043014471099</v>
      </c>
      <c r="W53" s="8">
        <f t="shared" si="54"/>
        <v>27238.394304905236</v>
      </c>
    </row>
    <row r="54" spans="1:23" s="5" customFormat="1" x14ac:dyDescent="0.25">
      <c r="A54" s="5" t="s">
        <v>43</v>
      </c>
      <c r="B54" s="20">
        <v>83691.710577999169</v>
      </c>
      <c r="C54" s="20">
        <f>C45+C46+C50</f>
        <v>2869</v>
      </c>
      <c r="D54" s="20">
        <f>B54+C54</f>
        <v>86560.710577999169</v>
      </c>
      <c r="E54" s="20">
        <f>SUM(E44:E53)</f>
        <v>227037.63699000003</v>
      </c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</row>
    <row r="55" spans="1:23" x14ac:dyDescent="0.25">
      <c r="B55" s="8"/>
      <c r="C55" s="8"/>
      <c r="D55" s="8">
        <f t="shared" ref="D55:D64" si="55">B55-C55</f>
        <v>0</v>
      </c>
      <c r="E55" s="8">
        <v>0</v>
      </c>
      <c r="F55" s="8"/>
      <c r="G55" s="8"/>
      <c r="H55" s="8"/>
      <c r="I55" s="8" t="s">
        <v>48</v>
      </c>
      <c r="J55" s="8">
        <v>50930.124656259795</v>
      </c>
      <c r="K55" s="8">
        <v>58451.646250970705</v>
      </c>
      <c r="L55" s="8">
        <v>47704.073587999163</v>
      </c>
      <c r="M55" s="8">
        <v>39581.512959999993</v>
      </c>
      <c r="N55" s="8">
        <f ca="1">N198</f>
        <v>45826.87376551464</v>
      </c>
      <c r="O55" s="8">
        <f t="shared" ref="O55:W55" ca="1" si="56">O198</f>
        <v>52810.958938392971</v>
      </c>
      <c r="P55" s="8">
        <f t="shared" ca="1" si="56"/>
        <v>61361.42734490108</v>
      </c>
      <c r="Q55" s="8">
        <f t="shared" ca="1" si="56"/>
        <v>70610.452857433906</v>
      </c>
      <c r="R55" s="8">
        <f t="shared" ca="1" si="56"/>
        <v>81298.665888236734</v>
      </c>
      <c r="S55" s="8">
        <f t="shared" ca="1" si="56"/>
        <v>93607.047114124347</v>
      </c>
      <c r="T55" s="8">
        <f t="shared" ca="1" si="56"/>
        <v>107194.08958595277</v>
      </c>
      <c r="U55" s="8">
        <f t="shared" ca="1" si="56"/>
        <v>120154.20591093342</v>
      </c>
      <c r="V55" s="8">
        <f t="shared" ca="1" si="56"/>
        <v>136019.29244610746</v>
      </c>
      <c r="W55" s="8">
        <f t="shared" ca="1" si="56"/>
        <v>152055.42676580985</v>
      </c>
    </row>
    <row r="56" spans="1:23" x14ac:dyDescent="0.25">
      <c r="A56" t="s">
        <v>44</v>
      </c>
      <c r="B56" s="8">
        <v>7474.0862500000003</v>
      </c>
      <c r="C56" s="8"/>
      <c r="D56" s="8">
        <f t="shared" si="55"/>
        <v>7474.0862500000003</v>
      </c>
      <c r="E56" s="8">
        <v>7474.0862500000003</v>
      </c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</row>
    <row r="57" spans="1:23" x14ac:dyDescent="0.25">
      <c r="A57" t="s">
        <v>45</v>
      </c>
      <c r="B57" s="8">
        <v>5837.0377799999997</v>
      </c>
      <c r="C57" s="8"/>
      <c r="D57" s="8">
        <f t="shared" si="55"/>
        <v>5837.0377799999997</v>
      </c>
      <c r="E57" s="8">
        <v>5837.0377799999997</v>
      </c>
      <c r="F57" s="8"/>
      <c r="G57" s="8"/>
      <c r="H57" s="8"/>
      <c r="I57" s="8" t="s">
        <v>49</v>
      </c>
      <c r="J57" s="20">
        <f>SUM(J49:J55)</f>
        <v>83373.428636259792</v>
      </c>
      <c r="K57" s="20">
        <f t="shared" ref="K57:W57" si="57">SUM(K49:K55)</f>
        <v>94841.283620970702</v>
      </c>
      <c r="L57" s="20">
        <f t="shared" si="57"/>
        <v>83691.710577999154</v>
      </c>
      <c r="M57" s="20">
        <f t="shared" si="57"/>
        <v>227037.63699</v>
      </c>
      <c r="N57" s="20">
        <f t="shared" ca="1" si="57"/>
        <v>232571.20346464365</v>
      </c>
      <c r="O57" s="20">
        <f t="shared" ca="1" si="57"/>
        <v>238958.30646834872</v>
      </c>
      <c r="P57" s="20">
        <f t="shared" ca="1" si="57"/>
        <v>245944.03480672542</v>
      </c>
      <c r="Q57" s="20">
        <f t="shared" ca="1" si="57"/>
        <v>251741.80087713801</v>
      </c>
      <c r="R57" s="20">
        <f t="shared" ca="1" si="57"/>
        <v>257862.81988437666</v>
      </c>
      <c r="S57" s="20">
        <f t="shared" ca="1" si="57"/>
        <v>264357.81749576947</v>
      </c>
      <c r="T57" s="20">
        <f t="shared" ca="1" si="57"/>
        <v>271445.25443528179</v>
      </c>
      <c r="U57" s="20">
        <f t="shared" ca="1" si="57"/>
        <v>273419.70983298513</v>
      </c>
      <c r="V57" s="20">
        <f t="shared" ca="1" si="57"/>
        <v>278590.22608031676</v>
      </c>
      <c r="W57" s="20">
        <f t="shared" ca="1" si="57"/>
        <v>283060.74809855002</v>
      </c>
    </row>
    <row r="58" spans="1:23" x14ac:dyDescent="0.25">
      <c r="B58" s="8"/>
      <c r="C58" s="8"/>
      <c r="D58" s="8">
        <f t="shared" si="55"/>
        <v>0</v>
      </c>
      <c r="E58" s="8">
        <v>0</v>
      </c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</row>
    <row r="59" spans="1:23" x14ac:dyDescent="0.25">
      <c r="A59" t="s">
        <v>46</v>
      </c>
      <c r="B59" s="8">
        <v>8531.51296</v>
      </c>
      <c r="C59" s="8"/>
      <c r="D59" s="8">
        <f t="shared" si="55"/>
        <v>8531.51296</v>
      </c>
      <c r="E59" s="8">
        <v>160000</v>
      </c>
      <c r="F59" s="8"/>
      <c r="G59" s="8"/>
      <c r="H59" s="8"/>
      <c r="I59" s="8" t="s">
        <v>50</v>
      </c>
      <c r="J59" s="8">
        <f>J47-J57</f>
        <v>0</v>
      </c>
      <c r="K59" s="8">
        <f t="shared" ref="K59:W59" si="58">K47-K57</f>
        <v>0</v>
      </c>
      <c r="L59" s="8">
        <f t="shared" si="58"/>
        <v>0</v>
      </c>
      <c r="M59" s="8">
        <f t="shared" si="58"/>
        <v>0</v>
      </c>
      <c r="N59" s="8">
        <f t="shared" ca="1" si="58"/>
        <v>0</v>
      </c>
      <c r="O59" s="42">
        <f t="shared" ca="1" si="58"/>
        <v>0</v>
      </c>
      <c r="P59" s="42">
        <f t="shared" ca="1" si="58"/>
        <v>0</v>
      </c>
      <c r="Q59" s="42">
        <f t="shared" ca="1" si="58"/>
        <v>0</v>
      </c>
      <c r="R59" s="42">
        <f t="shared" ca="1" si="58"/>
        <v>0</v>
      </c>
      <c r="S59" s="42">
        <f t="shared" ca="1" si="58"/>
        <v>0</v>
      </c>
      <c r="T59" s="42">
        <f t="shared" ca="1" si="58"/>
        <v>0</v>
      </c>
      <c r="U59" s="42">
        <f t="shared" ca="1" si="58"/>
        <v>0</v>
      </c>
      <c r="V59" s="42">
        <f t="shared" ca="1" si="58"/>
        <v>0</v>
      </c>
      <c r="W59" s="42">
        <f t="shared" ca="1" si="58"/>
        <v>0</v>
      </c>
    </row>
    <row r="60" spans="1:23" x14ac:dyDescent="0.25">
      <c r="A60" t="s">
        <v>47</v>
      </c>
      <c r="B60" s="8">
        <v>14145</v>
      </c>
      <c r="C60" s="8"/>
      <c r="D60" s="8">
        <f t="shared" si="55"/>
        <v>14145</v>
      </c>
      <c r="E60" s="8">
        <v>14145</v>
      </c>
      <c r="F60" s="8"/>
      <c r="G60" s="8"/>
      <c r="H60" s="8"/>
    </row>
    <row r="61" spans="1:23" x14ac:dyDescent="0.25">
      <c r="B61" s="8"/>
      <c r="C61" s="8"/>
      <c r="D61" s="8">
        <f t="shared" si="55"/>
        <v>0</v>
      </c>
      <c r="E61" s="8">
        <v>0</v>
      </c>
      <c r="F61" s="8"/>
      <c r="G61" s="8"/>
      <c r="H61" s="8"/>
    </row>
    <row r="62" spans="1:23" ht="15.75" x14ac:dyDescent="0.25">
      <c r="A62" t="s">
        <v>48</v>
      </c>
      <c r="B62" s="8">
        <v>47704.073587999163</v>
      </c>
      <c r="C62" s="8"/>
      <c r="D62" s="8">
        <f t="shared" si="55"/>
        <v>47704.073587999163</v>
      </c>
      <c r="E62" s="8">
        <v>39581.512959999993</v>
      </c>
      <c r="F62" s="8"/>
      <c r="G62" s="8"/>
      <c r="H62" s="8"/>
      <c r="I62" s="23" t="s">
        <v>121</v>
      </c>
    </row>
    <row r="63" spans="1:23" x14ac:dyDescent="0.25">
      <c r="B63" s="8"/>
      <c r="C63" s="8"/>
      <c r="D63" s="8">
        <f t="shared" si="55"/>
        <v>0</v>
      </c>
      <c r="E63" s="8">
        <v>0</v>
      </c>
      <c r="F63" s="8"/>
      <c r="G63" s="8"/>
      <c r="H63" s="8"/>
      <c r="I63" s="13" t="s">
        <v>169</v>
      </c>
      <c r="J63" s="18">
        <v>2020</v>
      </c>
      <c r="K63" s="18">
        <v>2021</v>
      </c>
      <c r="L63" s="18">
        <v>2022</v>
      </c>
      <c r="M63" s="13"/>
      <c r="N63" s="14">
        <v>2023</v>
      </c>
      <c r="O63" s="14">
        <v>2024</v>
      </c>
      <c r="P63" s="14">
        <v>2025</v>
      </c>
      <c r="Q63" s="14">
        <v>2026</v>
      </c>
      <c r="R63" s="14">
        <v>2027</v>
      </c>
      <c r="S63" s="14">
        <v>2028</v>
      </c>
      <c r="T63" s="14">
        <v>2029</v>
      </c>
      <c r="U63" s="14">
        <v>2030</v>
      </c>
      <c r="V63" s="14">
        <v>2031</v>
      </c>
      <c r="W63" s="14">
        <v>2032</v>
      </c>
    </row>
    <row r="64" spans="1:23" s="5" customFormat="1" x14ac:dyDescent="0.25">
      <c r="A64" s="5" t="s">
        <v>49</v>
      </c>
      <c r="B64" s="20">
        <v>83691.710577999154</v>
      </c>
      <c r="C64" s="20">
        <v>0</v>
      </c>
      <c r="D64" s="20">
        <f t="shared" si="55"/>
        <v>83691.710577999154</v>
      </c>
      <c r="E64" s="20">
        <v>227037.63699</v>
      </c>
      <c r="F64" s="20"/>
      <c r="G64" s="20"/>
      <c r="H64" s="20"/>
      <c r="I64" s="20" t="s">
        <v>32</v>
      </c>
      <c r="J64" s="20">
        <v>17837.413770866275</v>
      </c>
      <c r="K64" s="20">
        <v>7520.9926867086861</v>
      </c>
      <c r="L64" s="20">
        <v>9118.1809999999969</v>
      </c>
      <c r="M64" s="20"/>
      <c r="N64" s="20">
        <f ca="1">N32</f>
        <v>6245.3608055146433</v>
      </c>
      <c r="O64" s="20">
        <f t="shared" ref="O64:W64" ca="1" si="59">O32</f>
        <v>6984.2327843444991</v>
      </c>
      <c r="P64" s="20">
        <f t="shared" ca="1" si="59"/>
        <v>8550.6021684067091</v>
      </c>
      <c r="Q64" s="20">
        <f t="shared" ca="1" si="59"/>
        <v>9249.0017056077977</v>
      </c>
      <c r="R64" s="20">
        <f t="shared" ca="1" si="59"/>
        <v>10688.180790741473</v>
      </c>
      <c r="S64" s="20">
        <f t="shared" ca="1" si="59"/>
        <v>12308.502819288957</v>
      </c>
      <c r="T64" s="20">
        <f t="shared" ca="1" si="59"/>
        <v>13587.172697994112</v>
      </c>
      <c r="U64" s="20">
        <f t="shared" ca="1" si="59"/>
        <v>12960.080781339679</v>
      </c>
      <c r="V64" s="20">
        <f t="shared" ca="1" si="59"/>
        <v>15865.019226238292</v>
      </c>
      <c r="W64" s="20">
        <f t="shared" ca="1" si="59"/>
        <v>16036.227252687881</v>
      </c>
    </row>
    <row r="65" spans="1:23" x14ac:dyDescent="0.25">
      <c r="I65" s="8" t="s">
        <v>122</v>
      </c>
      <c r="J65" s="8">
        <v>1337.5114134600308</v>
      </c>
      <c r="K65" s="8">
        <v>1510.3767303073387</v>
      </c>
      <c r="L65" s="8">
        <v>1870.3969999999999</v>
      </c>
      <c r="M65" s="8"/>
      <c r="N65" s="8">
        <f>-N27</f>
        <v>2688.3374761904761</v>
      </c>
      <c r="O65" s="8">
        <f t="shared" ref="O65:W65" si="60">-O27</f>
        <v>3061.3374761904761</v>
      </c>
      <c r="P65" s="8">
        <f t="shared" si="60"/>
        <v>3434.3374761904761</v>
      </c>
      <c r="Q65" s="8">
        <f t="shared" si="60"/>
        <v>3807.3374761904761</v>
      </c>
      <c r="R65" s="8">
        <f t="shared" si="60"/>
        <v>4180.3374761904761</v>
      </c>
      <c r="S65" s="8">
        <f t="shared" si="60"/>
        <v>4553.3374761904761</v>
      </c>
      <c r="T65" s="8">
        <f t="shared" si="60"/>
        <v>4926.3374761904761</v>
      </c>
      <c r="U65" s="8">
        <f t="shared" si="60"/>
        <v>5156.480333333333</v>
      </c>
      <c r="V65" s="8">
        <f t="shared" si="60"/>
        <v>5360.730333333333</v>
      </c>
      <c r="W65" s="8">
        <f t="shared" si="60"/>
        <v>5600.3969999999999</v>
      </c>
    </row>
    <row r="66" spans="1:23" ht="21" x14ac:dyDescent="0.35">
      <c r="A66" s="48" t="s">
        <v>41</v>
      </c>
      <c r="B66" s="48"/>
      <c r="I66" s="8" t="s">
        <v>123</v>
      </c>
      <c r="J66" s="8"/>
      <c r="K66" s="8">
        <v>-2709.9673000000021</v>
      </c>
      <c r="L66" s="8">
        <v>2830.0066300000017</v>
      </c>
      <c r="M66" s="8"/>
      <c r="N66" s="8">
        <f>-(N92-M92)</f>
        <v>-2184.7823646511933</v>
      </c>
      <c r="O66" s="8">
        <f t="shared" ref="O66:W66" si="61">-(O92-N92)</f>
        <v>-1194.4259510581451</v>
      </c>
      <c r="P66" s="8">
        <f t="shared" si="61"/>
        <v>-1320.8848915151193</v>
      </c>
      <c r="Q66" s="8">
        <f t="shared" si="61"/>
        <v>-1044.5854402432033</v>
      </c>
      <c r="R66" s="8">
        <f t="shared" si="61"/>
        <v>-1124.3073987666012</v>
      </c>
      <c r="S66" s="8">
        <f t="shared" si="61"/>
        <v>-1210.2039823802115</v>
      </c>
      <c r="T66" s="8">
        <f t="shared" si="61"/>
        <v>-957.68144818747533</v>
      </c>
      <c r="U66" s="8">
        <f t="shared" si="61"/>
        <v>-1012.2143209198293</v>
      </c>
      <c r="V66" s="8">
        <f t="shared" si="61"/>
        <v>-877.70057833417741</v>
      </c>
      <c r="W66" s="8">
        <f t="shared" si="61"/>
        <v>-718.31767341250816</v>
      </c>
    </row>
    <row r="67" spans="1:23" x14ac:dyDescent="0.25">
      <c r="A67" t="s">
        <v>92</v>
      </c>
      <c r="B67" s="8">
        <f>B6</f>
        <v>187500</v>
      </c>
      <c r="I67" s="8" t="s">
        <v>38</v>
      </c>
      <c r="J67" s="8"/>
      <c r="K67" s="8">
        <v>-705.66365000000042</v>
      </c>
      <c r="L67" s="8">
        <v>484.16145999999935</v>
      </c>
      <c r="M67" s="8"/>
      <c r="N67" s="8">
        <v>-1261.7563420000006</v>
      </c>
      <c r="O67" s="8">
        <v>-1387.9319762000032</v>
      </c>
      <c r="P67" s="8">
        <v>-1526.725173820003</v>
      </c>
      <c r="Q67" s="8">
        <v>-1175.578383841399</v>
      </c>
      <c r="R67" s="8">
        <v>-1257.8688707102992</v>
      </c>
      <c r="S67" s="8">
        <v>-1345.9196916600195</v>
      </c>
      <c r="T67" s="8">
        <v>-1028.667192911591</v>
      </c>
      <c r="U67" s="8">
        <v>-1080.1005525571672</v>
      </c>
      <c r="V67" s="8">
        <v>-907.28446414801874</v>
      </c>
      <c r="W67" s="8">
        <v>-707.68188203546015</v>
      </c>
    </row>
    <row r="68" spans="1:23" x14ac:dyDescent="0.25">
      <c r="A68" t="s">
        <v>94</v>
      </c>
      <c r="B68" s="8">
        <f>-(B54-SUM(B56:B60))</f>
        <v>-47704.07358799917</v>
      </c>
      <c r="I68" s="8" t="s">
        <v>45</v>
      </c>
      <c r="J68" s="8"/>
      <c r="K68" s="8">
        <v>34.182119999999486</v>
      </c>
      <c r="L68" s="8">
        <v>-1021.3098300000001</v>
      </c>
      <c r="M68" s="8"/>
      <c r="N68" s="8">
        <f>N50-M50</f>
        <v>583.70377800000097</v>
      </c>
      <c r="O68" s="8">
        <f t="shared" ref="O68:W68" si="62">O50-N50</f>
        <v>642.07415580000088</v>
      </c>
      <c r="P68" s="8">
        <f t="shared" si="62"/>
        <v>706.28157138000097</v>
      </c>
      <c r="Q68" s="8">
        <f t="shared" si="62"/>
        <v>543.83680996259955</v>
      </c>
      <c r="R68" s="8">
        <f t="shared" si="62"/>
        <v>581.90538665998429</v>
      </c>
      <c r="S68" s="8">
        <f t="shared" si="62"/>
        <v>622.63876372618142</v>
      </c>
      <c r="T68" s="8">
        <f t="shared" si="62"/>
        <v>475.8739122764382</v>
      </c>
      <c r="U68" s="8">
        <f t="shared" si="62"/>
        <v>499.66760789026193</v>
      </c>
      <c r="V68" s="8">
        <f t="shared" si="62"/>
        <v>419.72079062781813</v>
      </c>
      <c r="W68" s="8">
        <f t="shared" si="62"/>
        <v>327.38221668970073</v>
      </c>
    </row>
    <row r="69" spans="1:23" x14ac:dyDescent="0.25">
      <c r="A69" t="s">
        <v>93</v>
      </c>
      <c r="B69" s="8">
        <v>139795.92641200084</v>
      </c>
      <c r="I69" s="8" t="s">
        <v>42</v>
      </c>
      <c r="J69" s="8"/>
      <c r="K69" s="8">
        <v>7518.3625833643127</v>
      </c>
      <c r="L69" s="8">
        <v>-152.30499710451659</v>
      </c>
      <c r="M69" s="8"/>
      <c r="N69" s="8">
        <f>-(N45-M45)</f>
        <v>-1324.7685000000019</v>
      </c>
      <c r="O69" s="8">
        <f t="shared" ref="O69:W69" si="63">-(O45-N45)</f>
        <v>-1457.2453500000029</v>
      </c>
      <c r="P69" s="8">
        <f t="shared" si="63"/>
        <v>-1602.9698850000023</v>
      </c>
      <c r="Q69" s="8">
        <f t="shared" si="63"/>
        <v>-1234.2868114499979</v>
      </c>
      <c r="R69" s="8">
        <f t="shared" si="63"/>
        <v>-1320.6868882515046</v>
      </c>
      <c r="S69" s="8">
        <f t="shared" si="63"/>
        <v>-1413.134970429106</v>
      </c>
      <c r="T69" s="8">
        <f t="shared" si="63"/>
        <v>-1080.0388702565324</v>
      </c>
      <c r="U69" s="8">
        <f t="shared" si="63"/>
        <v>-1134.0408137693594</v>
      </c>
      <c r="V69" s="8">
        <f t="shared" si="63"/>
        <v>-952.59428356626449</v>
      </c>
      <c r="W69" s="8">
        <f t="shared" si="63"/>
        <v>-743.02354118168296</v>
      </c>
    </row>
    <row r="70" spans="1:23" x14ac:dyDescent="0.25">
      <c r="A70" t="s">
        <v>95</v>
      </c>
      <c r="B70" s="8">
        <f>-C54</f>
        <v>-2869</v>
      </c>
      <c r="I70" s="8" t="s">
        <v>47</v>
      </c>
      <c r="J70" s="8"/>
      <c r="K70" s="8">
        <v>-1132</v>
      </c>
      <c r="L70" s="8">
        <v>935</v>
      </c>
      <c r="M70" s="8"/>
      <c r="N70" s="8">
        <f>N53-M53</f>
        <v>1414.5000000000018</v>
      </c>
      <c r="O70" s="8">
        <f t="shared" ref="O70:W70" si="64">O53-N53</f>
        <v>1555.9500000000025</v>
      </c>
      <c r="P70" s="8">
        <f t="shared" si="64"/>
        <v>1711.5450000000019</v>
      </c>
      <c r="Q70" s="8">
        <f t="shared" si="64"/>
        <v>1317.889650000001</v>
      </c>
      <c r="R70" s="8">
        <f t="shared" si="64"/>
        <v>1410.1419255000001</v>
      </c>
      <c r="S70" s="8">
        <f t="shared" si="64"/>
        <v>1508.8518602850017</v>
      </c>
      <c r="T70" s="8">
        <f t="shared" si="64"/>
        <v>1153.1939217892541</v>
      </c>
      <c r="U70" s="8">
        <f t="shared" si="64"/>
        <v>1210.8536178787144</v>
      </c>
      <c r="V70" s="8">
        <f t="shared" si="64"/>
        <v>1017.1170390181214</v>
      </c>
      <c r="W70" s="8">
        <f t="shared" si="64"/>
        <v>793.3512904341369</v>
      </c>
    </row>
    <row r="71" spans="1:23" s="5" customFormat="1" x14ac:dyDescent="0.25">
      <c r="A71" s="5" t="s">
        <v>41</v>
      </c>
      <c r="B71" s="20">
        <f>B69+B70</f>
        <v>136926.92641200084</v>
      </c>
      <c r="I71" s="20" t="s">
        <v>124</v>
      </c>
      <c r="J71" s="20">
        <v>19174.925184326305</v>
      </c>
      <c r="K71" s="20">
        <v>12036.283170380335</v>
      </c>
      <c r="L71" s="20">
        <v>14064.131262895482</v>
      </c>
      <c r="M71" s="20"/>
      <c r="N71" s="20">
        <f ca="1">SUM(N64:N70)</f>
        <v>6160.5948530539263</v>
      </c>
      <c r="O71" s="20">
        <f t="shared" ref="O71:W71" ca="1" si="65">SUM(O64:O70)</f>
        <v>8203.9911390768284</v>
      </c>
      <c r="P71" s="20">
        <f t="shared" ca="1" si="65"/>
        <v>9952.1862656420635</v>
      </c>
      <c r="Q71" s="20">
        <f t="shared" ca="1" si="65"/>
        <v>11463.615006226275</v>
      </c>
      <c r="R71" s="20">
        <f t="shared" ca="1" si="65"/>
        <v>13157.702421363529</v>
      </c>
      <c r="S71" s="20">
        <f t="shared" ca="1" si="65"/>
        <v>15024.072275021279</v>
      </c>
      <c r="T71" s="20">
        <f t="shared" ca="1" si="65"/>
        <v>17076.19049689468</v>
      </c>
      <c r="U71" s="20">
        <f t="shared" ca="1" si="65"/>
        <v>16600.72665319563</v>
      </c>
      <c r="V71" s="20">
        <f t="shared" ca="1" si="65"/>
        <v>19925.008063169102</v>
      </c>
      <c r="W71" s="20">
        <f t="shared" ca="1" si="65"/>
        <v>20588.334663182068</v>
      </c>
    </row>
    <row r="72" spans="1:23" x14ac:dyDescent="0.25"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</row>
    <row r="73" spans="1:23" x14ac:dyDescent="0.25">
      <c r="I73" s="8" t="s">
        <v>102</v>
      </c>
      <c r="J73" s="8"/>
      <c r="K73" s="8">
        <v>-3653.1067303073382</v>
      </c>
      <c r="L73" s="8">
        <v>-3711.2250000000013</v>
      </c>
      <c r="M73" s="8"/>
      <c r="N73" s="8">
        <f>-N111</f>
        <v>-4082.3475000000021</v>
      </c>
      <c r="O73" s="8">
        <f t="shared" ref="O73:W73" si="66">-O111</f>
        <v>-4490.5822500000031</v>
      </c>
      <c r="P73" s="8">
        <f t="shared" si="66"/>
        <v>-4939.6404750000038</v>
      </c>
      <c r="Q73" s="8">
        <f t="shared" si="66"/>
        <v>-5285.4153082500034</v>
      </c>
      <c r="R73" s="8">
        <f t="shared" si="66"/>
        <v>-5655.3943798275041</v>
      </c>
      <c r="S73" s="8">
        <f t="shared" si="66"/>
        <v>-6051.2719864154296</v>
      </c>
      <c r="T73" s="8">
        <f t="shared" si="66"/>
        <v>-6353.8355857362021</v>
      </c>
      <c r="U73" s="8">
        <f t="shared" si="66"/>
        <v>-6671.5273650230129</v>
      </c>
      <c r="V73" s="8">
        <f t="shared" si="66"/>
        <v>-6938.3884596239341</v>
      </c>
      <c r="W73" s="8">
        <f t="shared" si="66"/>
        <v>-7146.5401134126523</v>
      </c>
    </row>
    <row r="74" spans="1:23" s="5" customFormat="1" x14ac:dyDescent="0.25">
      <c r="I74" s="20" t="s">
        <v>125</v>
      </c>
      <c r="J74" s="20">
        <v>0</v>
      </c>
      <c r="K74" s="20">
        <v>-3653.1067303073382</v>
      </c>
      <c r="L74" s="20">
        <v>-3711.2250000000013</v>
      </c>
      <c r="M74" s="20"/>
      <c r="N74" s="20">
        <f>N73</f>
        <v>-4082.3475000000021</v>
      </c>
      <c r="O74" s="20">
        <f t="shared" ref="O74:W74" si="67">O73</f>
        <v>-4490.5822500000031</v>
      </c>
      <c r="P74" s="20">
        <f t="shared" si="67"/>
        <v>-4939.6404750000038</v>
      </c>
      <c r="Q74" s="20">
        <f t="shared" si="67"/>
        <v>-5285.4153082500034</v>
      </c>
      <c r="R74" s="20">
        <f t="shared" si="67"/>
        <v>-5655.3943798275041</v>
      </c>
      <c r="S74" s="20">
        <f t="shared" si="67"/>
        <v>-6051.2719864154296</v>
      </c>
      <c r="T74" s="20">
        <f t="shared" si="67"/>
        <v>-6353.8355857362021</v>
      </c>
      <c r="U74" s="20">
        <f t="shared" si="67"/>
        <v>-6671.5273650230129</v>
      </c>
      <c r="V74" s="20">
        <f t="shared" si="67"/>
        <v>-6938.3884596239341</v>
      </c>
      <c r="W74" s="20">
        <f t="shared" si="67"/>
        <v>-7146.5401134126523</v>
      </c>
    </row>
    <row r="75" spans="1:23" x14ac:dyDescent="0.25"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</row>
    <row r="76" spans="1:23" x14ac:dyDescent="0.25">
      <c r="I76" s="8" t="s">
        <v>114</v>
      </c>
      <c r="J76" s="8"/>
      <c r="K76" s="8"/>
      <c r="L76" s="8"/>
      <c r="M76" s="8"/>
      <c r="N76" s="8">
        <f ca="1">N185</f>
        <v>6101.6424389468993</v>
      </c>
      <c r="O76" s="8">
        <f t="shared" ref="O76:W76" ca="1" si="68">O185</f>
        <v>5285.5001907648657</v>
      </c>
      <c r="P76" s="8">
        <f t="shared" ca="1" si="68"/>
        <v>3987.6006581153451</v>
      </c>
      <c r="Q76" s="8">
        <f t="shared" ca="1" si="68"/>
        <v>2821.9546279236365</v>
      </c>
      <c r="R76" s="8">
        <f t="shared" ca="1" si="68"/>
        <v>1497.8438419828208</v>
      </c>
      <c r="S76" s="8">
        <f t="shared" ca="1" si="68"/>
        <v>27.348605194652919</v>
      </c>
      <c r="T76" s="8">
        <f t="shared" ca="1" si="68"/>
        <v>0</v>
      </c>
      <c r="U76" s="8">
        <f t="shared" ca="1" si="68"/>
        <v>35371.498348982197</v>
      </c>
      <c r="V76" s="8">
        <f t="shared" ca="1" si="68"/>
        <v>2013.5217143721256</v>
      </c>
      <c r="W76" s="8">
        <f t="shared" ca="1" si="68"/>
        <v>19558.342209550407</v>
      </c>
    </row>
    <row r="77" spans="1:23" x14ac:dyDescent="0.25">
      <c r="I77" s="8" t="s">
        <v>126</v>
      </c>
      <c r="J77" s="8"/>
      <c r="K77" s="8"/>
      <c r="L77" s="8"/>
      <c r="M77" s="8"/>
      <c r="N77" s="8">
        <v>0</v>
      </c>
      <c r="O77" s="8">
        <v>0</v>
      </c>
      <c r="P77" s="8">
        <v>0</v>
      </c>
      <c r="Q77" s="8">
        <v>0</v>
      </c>
      <c r="R77" s="8">
        <v>0</v>
      </c>
      <c r="S77" s="8">
        <v>0</v>
      </c>
      <c r="T77" s="8">
        <v>0</v>
      </c>
      <c r="U77" s="8">
        <v>0</v>
      </c>
      <c r="V77" s="8">
        <v>0</v>
      </c>
      <c r="W77" s="8">
        <v>0</v>
      </c>
    </row>
    <row r="78" spans="1:23" x14ac:dyDescent="0.25">
      <c r="I78" s="8" t="s">
        <v>127</v>
      </c>
      <c r="J78" s="8"/>
      <c r="K78" s="8"/>
      <c r="L78" s="8"/>
      <c r="M78" s="8"/>
      <c r="N78" s="8">
        <f>N160+N165+N170</f>
        <v>-9000</v>
      </c>
      <c r="O78" s="8">
        <f t="shared" ref="O78:W78" si="69">O160+O165+O170</f>
        <v>-9000</v>
      </c>
      <c r="P78" s="8">
        <f t="shared" si="69"/>
        <v>-9000</v>
      </c>
      <c r="Q78" s="8">
        <f t="shared" si="69"/>
        <v>-9000</v>
      </c>
      <c r="R78" s="8">
        <f t="shared" si="69"/>
        <v>-9000</v>
      </c>
      <c r="S78" s="8">
        <f t="shared" si="69"/>
        <v>-9000</v>
      </c>
      <c r="T78" s="8">
        <f t="shared" si="69"/>
        <v>-9000</v>
      </c>
      <c r="U78" s="8">
        <f t="shared" si="69"/>
        <v>-49000</v>
      </c>
      <c r="V78" s="8">
        <f t="shared" si="69"/>
        <v>-15000.000000000004</v>
      </c>
      <c r="W78" s="8">
        <f t="shared" si="69"/>
        <v>-33000</v>
      </c>
    </row>
    <row r="79" spans="1:23" x14ac:dyDescent="0.25">
      <c r="I79" s="8" t="s">
        <v>128</v>
      </c>
      <c r="J79" s="8"/>
      <c r="K79" s="8"/>
      <c r="L79" s="8"/>
      <c r="M79" s="8"/>
      <c r="N79" s="8">
        <v>0</v>
      </c>
      <c r="O79" s="8">
        <v>0</v>
      </c>
      <c r="P79" s="8">
        <v>0</v>
      </c>
      <c r="Q79" s="8">
        <v>0</v>
      </c>
      <c r="R79" s="8">
        <v>0</v>
      </c>
      <c r="S79" s="8">
        <v>0</v>
      </c>
      <c r="T79" s="8">
        <v>0</v>
      </c>
      <c r="U79" s="8">
        <v>0</v>
      </c>
      <c r="V79" s="8">
        <v>0</v>
      </c>
      <c r="W79" s="8">
        <v>0</v>
      </c>
    </row>
    <row r="80" spans="1:23" x14ac:dyDescent="0.25">
      <c r="I80" s="8" t="s">
        <v>129</v>
      </c>
      <c r="J80" s="8"/>
      <c r="K80" s="8"/>
      <c r="L80" s="8"/>
      <c r="M80" s="8"/>
      <c r="N80" s="8">
        <v>0</v>
      </c>
      <c r="O80" s="8">
        <v>0</v>
      </c>
      <c r="P80" s="8">
        <v>0</v>
      </c>
      <c r="Q80" s="8">
        <v>0</v>
      </c>
      <c r="R80" s="8">
        <v>0</v>
      </c>
      <c r="S80" s="8">
        <v>0</v>
      </c>
      <c r="T80" s="8">
        <v>0</v>
      </c>
      <c r="U80" s="8">
        <v>0</v>
      </c>
      <c r="V80" s="8">
        <v>0</v>
      </c>
      <c r="W80" s="8">
        <v>0</v>
      </c>
    </row>
    <row r="81" spans="9:23" x14ac:dyDescent="0.25">
      <c r="I81" s="8" t="s">
        <v>130</v>
      </c>
      <c r="J81" s="8"/>
      <c r="K81" s="8"/>
      <c r="L81" s="8"/>
      <c r="M81" s="8"/>
      <c r="N81" s="8">
        <v>0</v>
      </c>
      <c r="O81" s="8">
        <v>0</v>
      </c>
      <c r="P81" s="8">
        <v>0</v>
      </c>
      <c r="Q81" s="8">
        <v>0</v>
      </c>
      <c r="R81" s="8">
        <v>0</v>
      </c>
      <c r="S81" s="8">
        <v>0</v>
      </c>
      <c r="T81" s="8">
        <v>0</v>
      </c>
      <c r="U81" s="8">
        <v>0</v>
      </c>
      <c r="V81" s="8">
        <v>0</v>
      </c>
      <c r="W81" s="8">
        <v>0</v>
      </c>
    </row>
    <row r="82" spans="9:23" s="5" customFormat="1" x14ac:dyDescent="0.25">
      <c r="I82" s="20" t="s">
        <v>131</v>
      </c>
      <c r="J82" s="20">
        <v>0</v>
      </c>
      <c r="K82" s="20">
        <v>0</v>
      </c>
      <c r="L82" s="20">
        <v>0</v>
      </c>
      <c r="M82" s="20"/>
      <c r="N82" s="20">
        <f ca="1">SUM(N76:N81)</f>
        <v>-2898.3575610531007</v>
      </c>
      <c r="O82" s="20">
        <f t="shared" ref="O82:W82" ca="1" si="70">SUM(O76:O81)</f>
        <v>-3714.4998092351343</v>
      </c>
      <c r="P82" s="20">
        <f t="shared" ca="1" si="70"/>
        <v>-5012.3993418846549</v>
      </c>
      <c r="Q82" s="20">
        <f t="shared" ca="1" si="70"/>
        <v>-6178.0453720763635</v>
      </c>
      <c r="R82" s="20">
        <f t="shared" ca="1" si="70"/>
        <v>-7502.1561580171792</v>
      </c>
      <c r="S82" s="20">
        <f t="shared" ca="1" si="70"/>
        <v>-8972.6513948053471</v>
      </c>
      <c r="T82" s="20">
        <f t="shared" ca="1" si="70"/>
        <v>-9000</v>
      </c>
      <c r="U82" s="20">
        <f t="shared" ca="1" si="70"/>
        <v>-13628.501651017803</v>
      </c>
      <c r="V82" s="20">
        <f t="shared" ca="1" si="70"/>
        <v>-12986.478285627878</v>
      </c>
      <c r="W82" s="20">
        <f t="shared" ca="1" si="70"/>
        <v>-13441.657790449593</v>
      </c>
    </row>
    <row r="83" spans="9:23" x14ac:dyDescent="0.25"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</row>
    <row r="84" spans="9:23" s="5" customFormat="1" x14ac:dyDescent="0.25">
      <c r="I84" s="20" t="s">
        <v>132</v>
      </c>
      <c r="J84" s="20">
        <v>19174.925184326305</v>
      </c>
      <c r="K84" s="20">
        <v>8383.1764400729971</v>
      </c>
      <c r="L84" s="20">
        <v>10352.906262895482</v>
      </c>
      <c r="M84" s="20"/>
      <c r="N84" s="20">
        <f ca="1">N71+N74+N82</f>
        <v>-820.11020799917651</v>
      </c>
      <c r="O84" s="20">
        <f t="shared" ref="O84:W84" ca="1" si="71">O71+O74+O82</f>
        <v>-1.090920158309018</v>
      </c>
      <c r="P84" s="20">
        <f t="shared" ca="1" si="71"/>
        <v>0.14644875740486896</v>
      </c>
      <c r="Q84" s="20">
        <f t="shared" ca="1" si="71"/>
        <v>0.15432589990814449</v>
      </c>
      <c r="R84" s="20">
        <f t="shared" ca="1" si="71"/>
        <v>0.15188351884535223</v>
      </c>
      <c r="S84" s="20">
        <f t="shared" ca="1" si="71"/>
        <v>0.14889380050226464</v>
      </c>
      <c r="T84" s="20">
        <f t="shared" ca="1" si="71"/>
        <v>1722.354911158478</v>
      </c>
      <c r="U84" s="20">
        <f t="shared" ca="1" si="71"/>
        <v>-3699.3023628451847</v>
      </c>
      <c r="V84" s="20">
        <f t="shared" ca="1" si="71"/>
        <v>0.14131791729050747</v>
      </c>
      <c r="W84" s="20">
        <f t="shared" ca="1" si="71"/>
        <v>0.13675931982288603</v>
      </c>
    </row>
    <row r="87" spans="9:23" ht="15.75" x14ac:dyDescent="0.25">
      <c r="I87" s="23" t="s">
        <v>110</v>
      </c>
    </row>
    <row r="88" spans="9:23" x14ac:dyDescent="0.25">
      <c r="I88" s="13" t="s">
        <v>169</v>
      </c>
      <c r="J88" s="18">
        <v>2020</v>
      </c>
      <c r="K88" s="18">
        <v>2021</v>
      </c>
      <c r="L88" s="18">
        <v>2022</v>
      </c>
      <c r="M88" s="13"/>
      <c r="N88" s="14">
        <v>2023</v>
      </c>
      <c r="O88" s="14">
        <v>2024</v>
      </c>
      <c r="P88" s="14">
        <v>2025</v>
      </c>
      <c r="Q88" s="14">
        <v>2026</v>
      </c>
      <c r="R88" s="14">
        <v>2027</v>
      </c>
      <c r="S88" s="14">
        <v>2028</v>
      </c>
      <c r="T88" s="14">
        <v>2029</v>
      </c>
      <c r="U88" s="14">
        <v>2030</v>
      </c>
      <c r="V88" s="14">
        <v>2031</v>
      </c>
      <c r="W88" s="14">
        <v>2032</v>
      </c>
    </row>
    <row r="89" spans="9:23" x14ac:dyDescent="0.25">
      <c r="I89" s="19" t="s">
        <v>36</v>
      </c>
      <c r="J89" s="8">
        <v>7823.6718099999998</v>
      </c>
      <c r="K89" s="8">
        <v>9112.2839399999993</v>
      </c>
      <c r="L89" s="8">
        <v>7669.1698500000002</v>
      </c>
      <c r="M89" s="8">
        <v>7121.1698500000002</v>
      </c>
      <c r="N89" s="8">
        <f>N95*N18/$D$9</f>
        <v>8436.0868350000001</v>
      </c>
      <c r="O89" s="8">
        <f t="shared" ref="O89:W89" si="72">O95*O18/$D$9</f>
        <v>9279.6955185000024</v>
      </c>
      <c r="P89" s="8">
        <f t="shared" si="72"/>
        <v>10207.665070350002</v>
      </c>
      <c r="Q89" s="8">
        <f t="shared" si="72"/>
        <v>10922.201625274503</v>
      </c>
      <c r="R89" s="8">
        <f t="shared" si="72"/>
        <v>11686.75573904372</v>
      </c>
      <c r="S89" s="8">
        <f t="shared" si="72"/>
        <v>12504.828640776781</v>
      </c>
      <c r="T89" s="8">
        <f t="shared" si="72"/>
        <v>13130.070072815621</v>
      </c>
      <c r="U89" s="8">
        <f t="shared" si="72"/>
        <v>13786.573576456403</v>
      </c>
      <c r="V89" s="8">
        <f t="shared" si="72"/>
        <v>14338.036519514659</v>
      </c>
      <c r="W89" s="8">
        <f t="shared" si="72"/>
        <v>14768.177615100101</v>
      </c>
    </row>
    <row r="90" spans="9:23" x14ac:dyDescent="0.25">
      <c r="I90" s="19" t="s">
        <v>37</v>
      </c>
      <c r="J90" s="8">
        <v>8631.9470099999999</v>
      </c>
      <c r="K90" s="8">
        <v>10494.88005</v>
      </c>
      <c r="L90" s="8">
        <v>10325.6981</v>
      </c>
      <c r="M90" s="8">
        <v>9527.6980999999996</v>
      </c>
      <c r="N90" s="8">
        <f>-N96*N20/$D$9</f>
        <v>10585.922931833298</v>
      </c>
      <c r="O90" s="8">
        <f t="shared" ref="O90:W90" si="73">-O96*O20/$D$9</f>
        <v>11856.233683653294</v>
      </c>
      <c r="P90" s="8">
        <f t="shared" si="73"/>
        <v>13278.98172569169</v>
      </c>
      <c r="Q90" s="8">
        <f t="shared" si="73"/>
        <v>14474.090081003944</v>
      </c>
      <c r="R90" s="8">
        <f t="shared" si="73"/>
        <v>15776.758188294298</v>
      </c>
      <c r="S90" s="8">
        <f t="shared" si="73"/>
        <v>17196.66642524079</v>
      </c>
      <c r="T90" s="8">
        <f t="shared" si="73"/>
        <v>18400.433075007644</v>
      </c>
      <c r="U90" s="8">
        <f t="shared" si="73"/>
        <v>19688.463390258181</v>
      </c>
      <c r="V90" s="8">
        <f t="shared" si="73"/>
        <v>20869.771193673674</v>
      </c>
      <c r="W90" s="8">
        <f t="shared" si="73"/>
        <v>21913.259753357357</v>
      </c>
    </row>
    <row r="91" spans="9:23" x14ac:dyDescent="0.25">
      <c r="I91" s="19" t="s">
        <v>44</v>
      </c>
      <c r="J91" s="8">
        <v>5814.7977899999996</v>
      </c>
      <c r="K91" s="8">
        <v>6256.3756599999997</v>
      </c>
      <c r="L91" s="8">
        <v>7474.0862500000003</v>
      </c>
      <c r="M91" s="8">
        <v>7474.0862500000003</v>
      </c>
      <c r="N91" s="8">
        <f>-N97*N20/$D$9</f>
        <v>7662.4457021821036</v>
      </c>
      <c r="O91" s="8">
        <f t="shared" ref="O91:W91" si="74">-O97*O20/$D$9</f>
        <v>8581.9391864439585</v>
      </c>
      <c r="P91" s="8">
        <f t="shared" si="74"/>
        <v>9611.7718888172349</v>
      </c>
      <c r="Q91" s="8">
        <f t="shared" si="74"/>
        <v>10476.831358810787</v>
      </c>
      <c r="R91" s="8">
        <f t="shared" si="74"/>
        <v>11419.746181103757</v>
      </c>
      <c r="S91" s="8">
        <f t="shared" si="74"/>
        <v>12447.523337403096</v>
      </c>
      <c r="T91" s="8">
        <f t="shared" si="74"/>
        <v>13318.849971021316</v>
      </c>
      <c r="U91" s="8">
        <f t="shared" si="74"/>
        <v>14251.169468992808</v>
      </c>
      <c r="V91" s="8">
        <f t="shared" si="74"/>
        <v>15106.239637132378</v>
      </c>
      <c r="W91" s="8">
        <f t="shared" si="74"/>
        <v>15861.551618988995</v>
      </c>
    </row>
    <row r="92" spans="9:23" x14ac:dyDescent="0.25">
      <c r="I92" s="19" t="s">
        <v>111</v>
      </c>
      <c r="J92" s="8">
        <v>10640.821029999999</v>
      </c>
      <c r="K92" s="8">
        <v>13350.788330000001</v>
      </c>
      <c r="L92" s="8">
        <v>10520.7817</v>
      </c>
      <c r="M92" s="8">
        <v>9174.7816999999995</v>
      </c>
      <c r="N92" s="8">
        <f>N89+N90-N91</f>
        <v>11359.564064651193</v>
      </c>
      <c r="O92" s="8">
        <f t="shared" ref="O92:W92" si="75">O89+O90-O91</f>
        <v>12553.990015709338</v>
      </c>
      <c r="P92" s="8">
        <f t="shared" si="75"/>
        <v>13874.874907224457</v>
      </c>
      <c r="Q92" s="8">
        <f t="shared" si="75"/>
        <v>14919.460347467661</v>
      </c>
      <c r="R92" s="8">
        <f t="shared" si="75"/>
        <v>16043.767746234262</v>
      </c>
      <c r="S92" s="8">
        <f t="shared" si="75"/>
        <v>17253.971728614473</v>
      </c>
      <c r="T92" s="8">
        <f t="shared" si="75"/>
        <v>18211.653176801949</v>
      </c>
      <c r="U92" s="8">
        <f t="shared" si="75"/>
        <v>19223.867497721778</v>
      </c>
      <c r="V92" s="8">
        <f t="shared" si="75"/>
        <v>20101.568076055955</v>
      </c>
      <c r="W92" s="8">
        <f t="shared" si="75"/>
        <v>20819.885749468463</v>
      </c>
    </row>
    <row r="93" spans="9:23" x14ac:dyDescent="0.25">
      <c r="I93" s="19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</row>
    <row r="94" spans="9:23" x14ac:dyDescent="0.25">
      <c r="I94" s="19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</row>
    <row r="95" spans="9:23" x14ac:dyDescent="0.25">
      <c r="I95" s="19" t="s">
        <v>96</v>
      </c>
      <c r="J95" s="8">
        <v>43.78230578142314</v>
      </c>
      <c r="K95" s="8">
        <v>47.748220847244262</v>
      </c>
      <c r="L95" s="8">
        <v>35.531377222665036</v>
      </c>
      <c r="M95" s="8"/>
      <c r="N95" s="8">
        <v>35.531377222665036</v>
      </c>
      <c r="O95" s="8">
        <v>35.531377222665036</v>
      </c>
      <c r="P95" s="8">
        <v>35.531377222665036</v>
      </c>
      <c r="Q95" s="8">
        <v>35.531377222665036</v>
      </c>
      <c r="R95" s="8">
        <v>35.531377222665036</v>
      </c>
      <c r="S95" s="8">
        <v>35.531377222665036</v>
      </c>
      <c r="T95" s="8">
        <v>35.531377222665036</v>
      </c>
      <c r="U95" s="8">
        <v>35.531377222665036</v>
      </c>
      <c r="V95" s="8">
        <v>35.531377222665036</v>
      </c>
      <c r="W95" s="8">
        <v>35.531377222665036</v>
      </c>
    </row>
    <row r="96" spans="9:23" x14ac:dyDescent="0.25">
      <c r="I96" s="19" t="s">
        <v>97</v>
      </c>
      <c r="J96" s="8">
        <v>109.97364206692042</v>
      </c>
      <c r="K96" s="8">
        <v>102.01637865851723</v>
      </c>
      <c r="L96" s="8">
        <v>90.961663094334497</v>
      </c>
      <c r="M96" s="8"/>
      <c r="N96" s="8">
        <v>88.921315981296488</v>
      </c>
      <c r="O96" s="8">
        <v>90.538067180956403</v>
      </c>
      <c r="P96" s="8">
        <v>92.184213856973784</v>
      </c>
      <c r="Q96" s="8">
        <v>93.907283274861157</v>
      </c>
      <c r="R96" s="8">
        <v>95.662559597755745</v>
      </c>
      <c r="S96" s="8">
        <v>97.450644823882044</v>
      </c>
      <c r="T96" s="8">
        <v>99.306847582432169</v>
      </c>
      <c r="U96" s="8">
        <v>101.1984065840023</v>
      </c>
      <c r="V96" s="8">
        <v>103.14452978754082</v>
      </c>
      <c r="W96" s="8">
        <v>105.14733619118238</v>
      </c>
    </row>
    <row r="97" spans="9:23" x14ac:dyDescent="0.25">
      <c r="I97" s="19" t="s">
        <v>98</v>
      </c>
      <c r="J97" s="8">
        <v>74.082300332492409</v>
      </c>
      <c r="K97" s="8">
        <v>60.815634415992264</v>
      </c>
      <c r="L97" s="8">
        <v>65.841099442031705</v>
      </c>
      <c r="M97" s="8"/>
      <c r="N97" s="8">
        <v>64.364227839250219</v>
      </c>
      <c r="O97" s="8">
        <v>65.534486527236595</v>
      </c>
      <c r="P97" s="8">
        <v>66.726022645913616</v>
      </c>
      <c r="Q97" s="8">
        <v>67.973238022472756</v>
      </c>
      <c r="R97" s="8">
        <v>69.243765835976916</v>
      </c>
      <c r="S97" s="8">
        <v>70.538041832911063</v>
      </c>
      <c r="T97" s="8">
        <v>71.881623582109384</v>
      </c>
      <c r="U97" s="8">
        <v>73.25079736462574</v>
      </c>
      <c r="V97" s="8">
        <v>74.659466544714704</v>
      </c>
      <c r="W97" s="8">
        <v>76.10916492422372</v>
      </c>
    </row>
    <row r="98" spans="9:23" x14ac:dyDescent="0.25">
      <c r="I98" s="19" t="s">
        <v>112</v>
      </c>
      <c r="J98" s="8">
        <f>J95+J96-J97</f>
        <v>79.673647515851158</v>
      </c>
      <c r="K98" s="8">
        <f t="shared" ref="K98:L98" si="76">K95+K96-K97</f>
        <v>88.948965089769217</v>
      </c>
      <c r="L98" s="8">
        <f t="shared" si="76"/>
        <v>60.651940874967821</v>
      </c>
      <c r="M98" s="8"/>
      <c r="N98" s="8">
        <f>N95+N96-N97</f>
        <v>60.088465364711311</v>
      </c>
      <c r="O98" s="8">
        <f t="shared" ref="O98:W98" si="77">O95+O96-O97</f>
        <v>60.534957876384851</v>
      </c>
      <c r="P98" s="8">
        <f t="shared" si="77"/>
        <v>60.989568433725196</v>
      </c>
      <c r="Q98" s="8">
        <f t="shared" si="77"/>
        <v>61.465422475053444</v>
      </c>
      <c r="R98" s="8">
        <f t="shared" si="77"/>
        <v>61.950170984443872</v>
      </c>
      <c r="S98" s="8">
        <f t="shared" si="77"/>
        <v>62.443980213636024</v>
      </c>
      <c r="T98" s="8">
        <f t="shared" si="77"/>
        <v>62.956601222987828</v>
      </c>
      <c r="U98" s="8">
        <f t="shared" si="77"/>
        <v>63.478986442041602</v>
      </c>
      <c r="V98" s="8">
        <f t="shared" si="77"/>
        <v>64.016440465491158</v>
      </c>
      <c r="W98" s="8">
        <f t="shared" si="77"/>
        <v>64.569548489623699</v>
      </c>
    </row>
    <row r="101" spans="9:23" ht="15.75" x14ac:dyDescent="0.25">
      <c r="I101" s="21" t="s">
        <v>120</v>
      </c>
      <c r="J101" s="21"/>
      <c r="K101" s="21"/>
      <c r="L101" s="22"/>
      <c r="M101" s="22"/>
      <c r="N101" s="8">
        <v>1</v>
      </c>
      <c r="O101" s="8">
        <v>2</v>
      </c>
      <c r="P101" s="8">
        <v>3</v>
      </c>
      <c r="Q101" s="8">
        <v>4</v>
      </c>
      <c r="R101" s="8">
        <v>5</v>
      </c>
      <c r="S101" s="8">
        <v>6</v>
      </c>
      <c r="T101" s="8">
        <v>7</v>
      </c>
      <c r="U101" s="8">
        <v>8</v>
      </c>
      <c r="V101" s="8">
        <v>9</v>
      </c>
      <c r="W101" s="8">
        <v>10</v>
      </c>
    </row>
    <row r="102" spans="9:23" x14ac:dyDescent="0.25">
      <c r="I102" s="8" t="s">
        <v>70</v>
      </c>
      <c r="J102" s="8"/>
      <c r="K102" s="8"/>
      <c r="L102" s="8"/>
      <c r="M102" s="8"/>
      <c r="N102" s="8">
        <v>-142.85714285714286</v>
      </c>
      <c r="O102" s="8">
        <v>-142.85714285714286</v>
      </c>
      <c r="P102" s="8">
        <v>-142.85714285714286</v>
      </c>
      <c r="Q102" s="8">
        <v>-142.85714285714286</v>
      </c>
      <c r="R102" s="8">
        <v>-142.85714285714286</v>
      </c>
      <c r="S102" s="8">
        <v>-142.85714285714286</v>
      </c>
      <c r="T102" s="8">
        <v>-142.85714285714286</v>
      </c>
      <c r="U102" s="8">
        <v>0</v>
      </c>
      <c r="V102" s="8">
        <v>0</v>
      </c>
      <c r="W102" s="8">
        <v>0</v>
      </c>
    </row>
    <row r="103" spans="9:23" x14ac:dyDescent="0.25">
      <c r="I103" s="8" t="s">
        <v>72</v>
      </c>
      <c r="J103" s="8"/>
      <c r="K103" s="8"/>
      <c r="L103" s="8"/>
      <c r="M103" s="8"/>
      <c r="N103" s="8">
        <v>-168.75</v>
      </c>
      <c r="O103" s="8">
        <v>-168.75</v>
      </c>
      <c r="P103" s="8">
        <v>-168.75</v>
      </c>
      <c r="Q103" s="8">
        <v>-168.75</v>
      </c>
      <c r="R103" s="8">
        <v>-168.75</v>
      </c>
      <c r="S103" s="8">
        <v>-168.75</v>
      </c>
      <c r="T103" s="8">
        <v>-168.75</v>
      </c>
      <c r="U103" s="8">
        <v>-168.75</v>
      </c>
      <c r="V103" s="8">
        <v>0</v>
      </c>
      <c r="W103" s="8">
        <v>0</v>
      </c>
    </row>
    <row r="104" spans="9:23" x14ac:dyDescent="0.25">
      <c r="I104" s="8" t="s">
        <v>73</v>
      </c>
      <c r="J104" s="8"/>
      <c r="K104" s="8"/>
      <c r="L104" s="8"/>
      <c r="M104" s="8"/>
      <c r="N104" s="8">
        <v>-133.33333333333334</v>
      </c>
      <c r="O104" s="8">
        <v>-133.33333333333334</v>
      </c>
      <c r="P104" s="8">
        <v>-133.33333333333334</v>
      </c>
      <c r="Q104" s="8">
        <v>-133.33333333333334</v>
      </c>
      <c r="R104" s="8">
        <v>-133.33333333333334</v>
      </c>
      <c r="S104" s="8">
        <v>-133.33333333333334</v>
      </c>
      <c r="T104" s="8">
        <v>-133.33333333333334</v>
      </c>
      <c r="U104" s="8">
        <v>-133.33333333333334</v>
      </c>
      <c r="V104" s="8">
        <v>-133.33333333333334</v>
      </c>
      <c r="W104" s="8">
        <v>0</v>
      </c>
    </row>
    <row r="105" spans="9:23" x14ac:dyDescent="0.25">
      <c r="I105" s="8" t="s">
        <v>79</v>
      </c>
      <c r="J105" s="8"/>
      <c r="K105" s="8"/>
      <c r="L105" s="8"/>
      <c r="M105" s="8"/>
      <c r="N105" s="8">
        <v>-444.94047619047626</v>
      </c>
      <c r="O105" s="8">
        <v>-444.94047619047626</v>
      </c>
      <c r="P105" s="8">
        <v>-444.94047619047626</v>
      </c>
      <c r="Q105" s="8">
        <v>-444.94047619047626</v>
      </c>
      <c r="R105" s="8">
        <v>-444.94047619047626</v>
      </c>
      <c r="S105" s="8">
        <v>-444.94047619047626</v>
      </c>
      <c r="T105" s="8">
        <v>-444.94047619047626</v>
      </c>
      <c r="U105" s="8">
        <v>-302.08333333333337</v>
      </c>
      <c r="V105" s="8">
        <v>-133.33333333333334</v>
      </c>
      <c r="W105" s="8">
        <v>0</v>
      </c>
    </row>
    <row r="108" spans="9:23" ht="15.75" x14ac:dyDescent="0.25">
      <c r="I108" s="23" t="s">
        <v>100</v>
      </c>
      <c r="J108" s="25"/>
    </row>
    <row r="109" spans="9:23" x14ac:dyDescent="0.25">
      <c r="I109" s="13" t="s">
        <v>169</v>
      </c>
      <c r="J109" s="18">
        <v>2020</v>
      </c>
      <c r="K109" s="18">
        <v>2021</v>
      </c>
      <c r="L109" s="18">
        <v>2022</v>
      </c>
      <c r="M109" s="13"/>
      <c r="N109" s="14">
        <v>2023</v>
      </c>
      <c r="O109" s="14">
        <v>2024</v>
      </c>
      <c r="P109" s="14">
        <v>2025</v>
      </c>
      <c r="Q109" s="14">
        <v>2026</v>
      </c>
      <c r="R109" s="14">
        <v>2027</v>
      </c>
      <c r="S109" s="14">
        <v>2028</v>
      </c>
      <c r="T109" s="14">
        <v>2029</v>
      </c>
      <c r="U109" s="14">
        <v>2030</v>
      </c>
      <c r="V109" s="14">
        <v>2031</v>
      </c>
      <c r="W109" s="14">
        <v>2032</v>
      </c>
    </row>
    <row r="110" spans="9:23" x14ac:dyDescent="0.25">
      <c r="I110" s="20" t="s">
        <v>101</v>
      </c>
      <c r="J110" s="8"/>
      <c r="K110" s="8">
        <v>27027.925999999999</v>
      </c>
      <c r="L110" s="8">
        <v>29170.655999999999</v>
      </c>
      <c r="M110" s="8">
        <v>35226.483999999997</v>
      </c>
      <c r="N110" s="8">
        <v>35226.483999999997</v>
      </c>
      <c r="O110" s="8">
        <f>N113</f>
        <v>37065.434500000003</v>
      </c>
      <c r="P110" s="8">
        <f t="shared" ref="P110:W110" si="78">O113</f>
        <v>38939.619750000013</v>
      </c>
      <c r="Q110" s="8">
        <f t="shared" si="78"/>
        <v>40889.863225000023</v>
      </c>
      <c r="R110" s="8">
        <f t="shared" si="78"/>
        <v>42812.881533250031</v>
      </c>
      <c r="S110" s="8">
        <f t="shared" si="78"/>
        <v>44732.87891307754</v>
      </c>
      <c r="T110" s="8">
        <f t="shared" si="78"/>
        <v>46675.753899492971</v>
      </c>
      <c r="U110" s="8">
        <f t="shared" si="78"/>
        <v>48548.192485229178</v>
      </c>
      <c r="V110" s="8">
        <f t="shared" si="78"/>
        <v>50365.322850252196</v>
      </c>
      <c r="W110" s="8">
        <f t="shared" si="78"/>
        <v>52076.314309876136</v>
      </c>
    </row>
    <row r="111" spans="9:23" x14ac:dyDescent="0.25">
      <c r="I111" s="8" t="s">
        <v>102</v>
      </c>
      <c r="J111" s="8"/>
      <c r="K111" s="8">
        <v>3653.1067303073382</v>
      </c>
      <c r="L111" s="8">
        <v>3711.2250000000013</v>
      </c>
      <c r="M111" s="8"/>
      <c r="N111" s="8">
        <f>N13*N18</f>
        <v>4082.3475000000021</v>
      </c>
      <c r="O111" s="8">
        <f t="shared" ref="O111:W111" si="79">O13*O18</f>
        <v>4490.5822500000031</v>
      </c>
      <c r="P111" s="8">
        <f t="shared" si="79"/>
        <v>4939.6404750000038</v>
      </c>
      <c r="Q111" s="8">
        <f t="shared" si="79"/>
        <v>5285.4153082500034</v>
      </c>
      <c r="R111" s="8">
        <f t="shared" si="79"/>
        <v>5655.3943798275041</v>
      </c>
      <c r="S111" s="8">
        <f t="shared" si="79"/>
        <v>6051.2719864154296</v>
      </c>
      <c r="T111" s="8">
        <f t="shared" si="79"/>
        <v>6353.8355857362021</v>
      </c>
      <c r="U111" s="8">
        <f t="shared" si="79"/>
        <v>6671.5273650230129</v>
      </c>
      <c r="V111" s="8">
        <f t="shared" si="79"/>
        <v>6938.3884596239341</v>
      </c>
      <c r="W111" s="8">
        <f t="shared" si="79"/>
        <v>7146.5401134126523</v>
      </c>
    </row>
    <row r="112" spans="9:23" x14ac:dyDescent="0.25">
      <c r="I112" s="8" t="s">
        <v>103</v>
      </c>
      <c r="J112" s="8"/>
      <c r="K112" s="8">
        <v>-1510.3767303073387</v>
      </c>
      <c r="L112" s="8">
        <v>-1870.3969999999999</v>
      </c>
      <c r="M112" s="8"/>
      <c r="N112" s="8">
        <f>L112-373</f>
        <v>-2243.3969999999999</v>
      </c>
      <c r="O112" s="8">
        <f>N112-373</f>
        <v>-2616.3969999999999</v>
      </c>
      <c r="P112" s="8">
        <f t="shared" ref="P112:W112" si="80">O112-373</f>
        <v>-2989.3969999999999</v>
      </c>
      <c r="Q112" s="8">
        <f t="shared" si="80"/>
        <v>-3362.3969999999999</v>
      </c>
      <c r="R112" s="8">
        <f t="shared" si="80"/>
        <v>-3735.3969999999999</v>
      </c>
      <c r="S112" s="8">
        <f t="shared" si="80"/>
        <v>-4108.3969999999999</v>
      </c>
      <c r="T112" s="8">
        <f t="shared" si="80"/>
        <v>-4481.3969999999999</v>
      </c>
      <c r="U112" s="8">
        <f t="shared" si="80"/>
        <v>-4854.3969999999999</v>
      </c>
      <c r="V112" s="8">
        <f t="shared" si="80"/>
        <v>-5227.3969999999999</v>
      </c>
      <c r="W112" s="8">
        <f t="shared" si="80"/>
        <v>-5600.3969999999999</v>
      </c>
    </row>
    <row r="113" spans="9:23" x14ac:dyDescent="0.25">
      <c r="I113" s="8" t="s">
        <v>104</v>
      </c>
      <c r="J113" s="8">
        <v>27027.925999999999</v>
      </c>
      <c r="K113" s="8">
        <v>29170.655999999999</v>
      </c>
      <c r="L113" s="8">
        <v>31011.484</v>
      </c>
      <c r="M113" s="8">
        <v>35226.483999999997</v>
      </c>
      <c r="N113" s="8">
        <f>N110+N111+N112</f>
        <v>37065.434500000003</v>
      </c>
      <c r="O113" s="8">
        <f t="shared" ref="O113:W113" si="81">O110+O111+O112</f>
        <v>38939.619750000013</v>
      </c>
      <c r="P113" s="8">
        <f t="shared" si="81"/>
        <v>40889.863225000023</v>
      </c>
      <c r="Q113" s="8">
        <f t="shared" si="81"/>
        <v>42812.881533250031</v>
      </c>
      <c r="R113" s="8">
        <f t="shared" si="81"/>
        <v>44732.87891307754</v>
      </c>
      <c r="S113" s="8">
        <f t="shared" si="81"/>
        <v>46675.753899492971</v>
      </c>
      <c r="T113" s="8">
        <f t="shared" si="81"/>
        <v>48548.192485229178</v>
      </c>
      <c r="U113" s="8">
        <f t="shared" si="81"/>
        <v>50365.322850252196</v>
      </c>
      <c r="V113" s="8">
        <f t="shared" si="81"/>
        <v>52076.314309876136</v>
      </c>
      <c r="W113" s="8">
        <f t="shared" si="81"/>
        <v>53622.45742328879</v>
      </c>
    </row>
    <row r="114" spans="9:23" x14ac:dyDescent="0.25"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</row>
    <row r="115" spans="9:23" x14ac:dyDescent="0.25">
      <c r="I115" s="20" t="s">
        <v>105</v>
      </c>
      <c r="J115" s="8">
        <v>0</v>
      </c>
      <c r="K115" s="8">
        <v>0</v>
      </c>
      <c r="L115" s="8">
        <v>0</v>
      </c>
      <c r="M115" s="8"/>
      <c r="N115" s="8">
        <v>136926.92641200084</v>
      </c>
      <c r="O115" s="8">
        <v>136926.92641200084</v>
      </c>
      <c r="P115" s="8">
        <v>136926.92641200084</v>
      </c>
      <c r="Q115" s="8">
        <v>136926.92641200084</v>
      </c>
      <c r="R115" s="8">
        <v>136926.92641200084</v>
      </c>
      <c r="S115" s="8">
        <v>136926.92641200084</v>
      </c>
      <c r="T115" s="8">
        <v>136926.92641200084</v>
      </c>
      <c r="U115" s="8">
        <v>136926.92641200084</v>
      </c>
      <c r="V115" s="8">
        <v>136926.92641200084</v>
      </c>
      <c r="W115" s="8">
        <v>136926.92641200084</v>
      </c>
    </row>
    <row r="116" spans="9:23" x14ac:dyDescent="0.25">
      <c r="I116" s="8" t="s">
        <v>106</v>
      </c>
      <c r="J116" s="8">
        <v>0</v>
      </c>
      <c r="K116" s="8">
        <v>0</v>
      </c>
      <c r="L116" s="8">
        <v>0</v>
      </c>
      <c r="M116" s="8">
        <v>136926.92641200084</v>
      </c>
      <c r="N116" s="8"/>
      <c r="O116" s="8"/>
      <c r="P116" s="8"/>
      <c r="Q116" s="8"/>
      <c r="R116" s="8"/>
      <c r="S116" s="8"/>
      <c r="T116" s="8"/>
      <c r="U116" s="8"/>
      <c r="V116" s="8"/>
      <c r="W116" s="8"/>
    </row>
    <row r="117" spans="9:23" x14ac:dyDescent="0.25">
      <c r="I117" s="8" t="s">
        <v>107</v>
      </c>
      <c r="J117" s="8">
        <v>0</v>
      </c>
      <c r="K117" s="8">
        <v>0</v>
      </c>
      <c r="L117" s="8">
        <v>0</v>
      </c>
      <c r="M117" s="8">
        <v>0</v>
      </c>
      <c r="N117" s="8">
        <v>0</v>
      </c>
      <c r="O117" s="8">
        <v>-2.6960998387658037</v>
      </c>
      <c r="P117" s="8">
        <v>-2.6621762901486363</v>
      </c>
      <c r="Q117" s="8">
        <v>-2.4517470955906902</v>
      </c>
      <c r="R117" s="8">
        <v>-2.2258019217988476</v>
      </c>
      <c r="S117" s="8">
        <v>-2.1473077153787017</v>
      </c>
      <c r="T117" s="8">
        <v>-2.1286400805111043</v>
      </c>
      <c r="U117" s="8">
        <v>-1.8873495494481176</v>
      </c>
      <c r="V117" s="8">
        <v>-1.6093779059010558</v>
      </c>
      <c r="W117" s="8">
        <v>-1.4874933957471512</v>
      </c>
    </row>
    <row r="118" spans="9:23" x14ac:dyDescent="0.25">
      <c r="I118" s="8" t="s">
        <v>108</v>
      </c>
      <c r="J118" s="8">
        <v>0</v>
      </c>
      <c r="K118" s="8">
        <v>0</v>
      </c>
      <c r="L118" s="8">
        <v>0</v>
      </c>
      <c r="M118" s="8">
        <v>136926.92641200084</v>
      </c>
      <c r="N118" s="8">
        <f>SUM(N115:N117)</f>
        <v>136926.92641200084</v>
      </c>
      <c r="O118" s="8">
        <f t="shared" ref="O118:W118" si="82">SUM(O115:O117)</f>
        <v>136924.23031216208</v>
      </c>
      <c r="P118" s="8">
        <f t="shared" si="82"/>
        <v>136924.2642357107</v>
      </c>
      <c r="Q118" s="8">
        <f t="shared" si="82"/>
        <v>136924.47466490525</v>
      </c>
      <c r="R118" s="8">
        <f t="shared" si="82"/>
        <v>136924.70061007905</v>
      </c>
      <c r="S118" s="8">
        <f t="shared" si="82"/>
        <v>136924.77910428547</v>
      </c>
      <c r="T118" s="8">
        <f t="shared" si="82"/>
        <v>136924.79777192033</v>
      </c>
      <c r="U118" s="8">
        <f t="shared" si="82"/>
        <v>136925.0390624514</v>
      </c>
      <c r="V118" s="8">
        <f t="shared" si="82"/>
        <v>136925.31703409494</v>
      </c>
      <c r="W118" s="8">
        <f t="shared" si="82"/>
        <v>136925.4389186051</v>
      </c>
    </row>
    <row r="119" spans="9:23" x14ac:dyDescent="0.25"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</row>
    <row r="120" spans="9:23" x14ac:dyDescent="0.25">
      <c r="I120" s="20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</row>
    <row r="121" spans="9:23" x14ac:dyDescent="0.25"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</row>
    <row r="122" spans="9:23" x14ac:dyDescent="0.25"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</row>
    <row r="123" spans="9:23" x14ac:dyDescent="0.25"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</row>
    <row r="124" spans="9:23" x14ac:dyDescent="0.25">
      <c r="I124" s="20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</row>
    <row r="125" spans="9:23" x14ac:dyDescent="0.25"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</row>
    <row r="126" spans="9:23" x14ac:dyDescent="0.25"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</row>
    <row r="127" spans="9:23" x14ac:dyDescent="0.25"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</row>
    <row r="128" spans="9:23" x14ac:dyDescent="0.25"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</row>
    <row r="129" spans="9:26" x14ac:dyDescent="0.25"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</row>
    <row r="130" spans="9:26" x14ac:dyDescent="0.25"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</row>
    <row r="131" spans="9:26" x14ac:dyDescent="0.25"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</row>
    <row r="132" spans="9:26" x14ac:dyDescent="0.25"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</row>
    <row r="133" spans="9:26" x14ac:dyDescent="0.25"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</row>
    <row r="134" spans="9:26" x14ac:dyDescent="0.25"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</row>
    <row r="135" spans="9:26" x14ac:dyDescent="0.25"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</row>
    <row r="136" spans="9:26" x14ac:dyDescent="0.25"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</row>
    <row r="137" spans="9:26" x14ac:dyDescent="0.25"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</row>
    <row r="138" spans="9:26" x14ac:dyDescent="0.25">
      <c r="I138" s="20" t="s">
        <v>109</v>
      </c>
      <c r="J138" s="20"/>
      <c r="K138" s="8"/>
      <c r="L138" s="8"/>
      <c r="M138" s="8"/>
      <c r="N138" s="8">
        <v>1</v>
      </c>
      <c r="O138" s="8">
        <v>2</v>
      </c>
      <c r="P138" s="8">
        <v>3</v>
      </c>
      <c r="Q138" s="8">
        <v>4</v>
      </c>
      <c r="R138" s="8">
        <v>5</v>
      </c>
      <c r="S138" s="8">
        <v>6</v>
      </c>
      <c r="T138" s="8">
        <v>7</v>
      </c>
      <c r="U138" s="8">
        <v>8</v>
      </c>
      <c r="V138" s="8">
        <v>9</v>
      </c>
      <c r="W138" s="8">
        <v>10</v>
      </c>
    </row>
    <row r="139" spans="9:26" x14ac:dyDescent="0.25">
      <c r="I139" s="8" t="s">
        <v>58</v>
      </c>
      <c r="J139" s="8"/>
      <c r="K139" s="8"/>
      <c r="L139" s="8"/>
      <c r="M139" s="8"/>
      <c r="N139" s="8">
        <v>-444.94047619047626</v>
      </c>
      <c r="O139" s="8">
        <v>-444.94047619047626</v>
      </c>
      <c r="P139" s="8">
        <v>-444.94047619047626</v>
      </c>
      <c r="Q139" s="8">
        <v>-444.94047619047626</v>
      </c>
      <c r="R139" s="8">
        <v>-444.94047619047626</v>
      </c>
      <c r="S139" s="8">
        <v>-444.94047619047626</v>
      </c>
      <c r="T139" s="8">
        <v>-444.94047619047626</v>
      </c>
      <c r="U139" s="8">
        <v>-302.08333333333337</v>
      </c>
      <c r="V139" s="8">
        <v>-133.33333333333334</v>
      </c>
      <c r="W139" s="8">
        <v>0</v>
      </c>
    </row>
    <row r="140" spans="9:26" x14ac:dyDescent="0.25"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</row>
    <row r="143" spans="9:26" x14ac:dyDescent="0.25">
      <c r="I143" s="20" t="s">
        <v>113</v>
      </c>
      <c r="J143" s="33">
        <v>1.8200000000000001E-2</v>
      </c>
      <c r="K143" s="33">
        <v>2.99E-3</v>
      </c>
      <c r="L143" s="33">
        <v>1.0999999999999999E-2</v>
      </c>
      <c r="M143" s="33"/>
      <c r="N143" s="33">
        <v>0.02</v>
      </c>
      <c r="O143" s="33">
        <v>2.5000000000000001E-2</v>
      </c>
      <c r="P143" s="33">
        <v>2.5000000000000001E-2</v>
      </c>
      <c r="Q143" s="33">
        <v>0.03</v>
      </c>
      <c r="R143" s="33">
        <v>0.03</v>
      </c>
      <c r="S143" s="33">
        <v>0.03</v>
      </c>
      <c r="T143" s="33">
        <v>0.03</v>
      </c>
      <c r="U143" s="33">
        <v>0.03</v>
      </c>
      <c r="V143" s="33">
        <v>0.03</v>
      </c>
      <c r="W143" s="33">
        <v>0.03</v>
      </c>
      <c r="X143" s="8"/>
      <c r="Y143" s="8"/>
      <c r="Z143" s="8"/>
    </row>
    <row r="144" spans="9:26" x14ac:dyDescent="0.25"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spans="9:26" x14ac:dyDescent="0.25">
      <c r="I145" s="20" t="s">
        <v>115</v>
      </c>
      <c r="J145" s="18">
        <v>2020</v>
      </c>
      <c r="K145" s="18">
        <v>2021</v>
      </c>
      <c r="L145" s="18">
        <v>2022</v>
      </c>
      <c r="M145" s="13"/>
      <c r="N145" s="14">
        <v>2023</v>
      </c>
      <c r="O145" s="14">
        <v>2024</v>
      </c>
      <c r="P145" s="14">
        <v>2025</v>
      </c>
      <c r="Q145" s="14">
        <v>2026</v>
      </c>
      <c r="R145" s="14">
        <v>2027</v>
      </c>
      <c r="S145" s="14">
        <v>2028</v>
      </c>
      <c r="T145" s="14">
        <v>2029</v>
      </c>
      <c r="U145" s="14">
        <v>2030</v>
      </c>
      <c r="V145" s="14">
        <v>2031</v>
      </c>
      <c r="W145" s="14">
        <v>2032</v>
      </c>
      <c r="X145" s="8"/>
      <c r="Y145" s="8" t="s">
        <v>116</v>
      </c>
      <c r="Z145" s="8"/>
    </row>
    <row r="146" spans="9:26" x14ac:dyDescent="0.25">
      <c r="I146" s="8" t="s">
        <v>70</v>
      </c>
      <c r="J146" s="8"/>
      <c r="K146" s="8"/>
      <c r="L146" s="8"/>
      <c r="M146" s="8"/>
      <c r="N146" s="33">
        <f>N143+$Y146</f>
        <v>0.05</v>
      </c>
      <c r="O146" s="33">
        <f t="shared" ref="O146:W146" si="83">O143+$Y146</f>
        <v>5.5E-2</v>
      </c>
      <c r="P146" s="33">
        <f t="shared" si="83"/>
        <v>5.5E-2</v>
      </c>
      <c r="Q146" s="33">
        <f t="shared" si="83"/>
        <v>0.06</v>
      </c>
      <c r="R146" s="33">
        <f t="shared" si="83"/>
        <v>0.06</v>
      </c>
      <c r="S146" s="33">
        <f t="shared" si="83"/>
        <v>0.06</v>
      </c>
      <c r="T146" s="33">
        <f t="shared" si="83"/>
        <v>0.06</v>
      </c>
      <c r="U146" s="33">
        <f t="shared" si="83"/>
        <v>0.06</v>
      </c>
      <c r="V146" s="33">
        <f t="shared" si="83"/>
        <v>0.06</v>
      </c>
      <c r="W146" s="33">
        <f t="shared" si="83"/>
        <v>0.06</v>
      </c>
      <c r="X146" s="8"/>
      <c r="Y146" s="33">
        <v>0.03</v>
      </c>
      <c r="Z146" s="8"/>
    </row>
    <row r="147" spans="9:26" x14ac:dyDescent="0.25">
      <c r="I147" s="8" t="s">
        <v>72</v>
      </c>
      <c r="J147" s="8"/>
      <c r="K147" s="8"/>
      <c r="L147" s="8"/>
      <c r="M147" s="8"/>
      <c r="N147" s="33">
        <f>N143+$Y147</f>
        <v>5.5000000000000007E-2</v>
      </c>
      <c r="O147" s="33">
        <f t="shared" ref="O147:W147" si="84">O143+$Y147</f>
        <v>6.0000000000000005E-2</v>
      </c>
      <c r="P147" s="33">
        <f t="shared" si="84"/>
        <v>6.0000000000000005E-2</v>
      </c>
      <c r="Q147" s="33">
        <f t="shared" si="84"/>
        <v>6.5000000000000002E-2</v>
      </c>
      <c r="R147" s="33">
        <f t="shared" si="84"/>
        <v>6.5000000000000002E-2</v>
      </c>
      <c r="S147" s="33">
        <f t="shared" si="84"/>
        <v>6.5000000000000002E-2</v>
      </c>
      <c r="T147" s="33">
        <f t="shared" si="84"/>
        <v>6.5000000000000002E-2</v>
      </c>
      <c r="U147" s="33">
        <f t="shared" si="84"/>
        <v>6.5000000000000002E-2</v>
      </c>
      <c r="V147" s="33">
        <f t="shared" si="84"/>
        <v>6.5000000000000002E-2</v>
      </c>
      <c r="W147" s="33">
        <f t="shared" si="84"/>
        <v>6.5000000000000002E-2</v>
      </c>
      <c r="X147" s="8"/>
      <c r="Y147" s="33">
        <v>3.5000000000000003E-2</v>
      </c>
      <c r="Z147" s="8"/>
    </row>
    <row r="148" spans="9:26" x14ac:dyDescent="0.25">
      <c r="I148" s="8" t="s">
        <v>73</v>
      </c>
      <c r="J148" s="8"/>
      <c r="K148" s="8"/>
      <c r="L148" s="8"/>
      <c r="M148" s="8"/>
      <c r="N148" s="33">
        <f>N143+$Y148</f>
        <v>0.06</v>
      </c>
      <c r="O148" s="33">
        <f t="shared" ref="O148:W148" si="85">O143+$Y148</f>
        <v>6.5000000000000002E-2</v>
      </c>
      <c r="P148" s="33">
        <f t="shared" si="85"/>
        <v>6.5000000000000002E-2</v>
      </c>
      <c r="Q148" s="33">
        <f t="shared" si="85"/>
        <v>7.0000000000000007E-2</v>
      </c>
      <c r="R148" s="33">
        <f t="shared" si="85"/>
        <v>7.0000000000000007E-2</v>
      </c>
      <c r="S148" s="33">
        <f t="shared" si="85"/>
        <v>7.0000000000000007E-2</v>
      </c>
      <c r="T148" s="33">
        <f t="shared" si="85"/>
        <v>7.0000000000000007E-2</v>
      </c>
      <c r="U148" s="33">
        <f t="shared" si="85"/>
        <v>7.0000000000000007E-2</v>
      </c>
      <c r="V148" s="33">
        <f t="shared" si="85"/>
        <v>7.0000000000000007E-2</v>
      </c>
      <c r="W148" s="33">
        <f t="shared" si="85"/>
        <v>7.0000000000000007E-2</v>
      </c>
      <c r="X148" s="8"/>
      <c r="Y148" s="33">
        <v>0.04</v>
      </c>
      <c r="Z148" s="8"/>
    </row>
    <row r="149" spans="9:26" x14ac:dyDescent="0.25">
      <c r="I149" s="8" t="s">
        <v>114</v>
      </c>
      <c r="J149" s="8"/>
      <c r="K149" s="8"/>
      <c r="L149" s="8"/>
      <c r="M149" s="8"/>
      <c r="N149" s="33">
        <f>N143+$Y149</f>
        <v>7.0000000000000007E-2</v>
      </c>
      <c r="O149" s="33">
        <f t="shared" ref="O149:W149" si="86">O143+$Y149</f>
        <v>7.5000000000000011E-2</v>
      </c>
      <c r="P149" s="33">
        <f t="shared" si="86"/>
        <v>7.5000000000000011E-2</v>
      </c>
      <c r="Q149" s="33">
        <f t="shared" si="86"/>
        <v>0.08</v>
      </c>
      <c r="R149" s="33">
        <f t="shared" si="86"/>
        <v>0.08</v>
      </c>
      <c r="S149" s="33">
        <f t="shared" si="86"/>
        <v>0.08</v>
      </c>
      <c r="T149" s="33">
        <f t="shared" si="86"/>
        <v>0.08</v>
      </c>
      <c r="U149" s="33">
        <f t="shared" si="86"/>
        <v>0.08</v>
      </c>
      <c r="V149" s="33">
        <f t="shared" si="86"/>
        <v>0.08</v>
      </c>
      <c r="W149" s="33">
        <f t="shared" si="86"/>
        <v>0.08</v>
      </c>
      <c r="X149" s="8"/>
      <c r="Y149" s="33">
        <v>0.05</v>
      </c>
      <c r="Z149" s="8"/>
    </row>
    <row r="150" spans="9:26" x14ac:dyDescent="0.25">
      <c r="I150" s="8"/>
      <c r="J150" s="8"/>
      <c r="K150" s="8"/>
      <c r="L150" s="8"/>
      <c r="M150" s="8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8"/>
      <c r="Y150" s="8"/>
      <c r="Z150" s="8"/>
    </row>
    <row r="151" spans="9:26" x14ac:dyDescent="0.25">
      <c r="I151" s="20" t="s">
        <v>117</v>
      </c>
      <c r="J151" s="8"/>
      <c r="K151" s="8"/>
      <c r="L151" s="8"/>
      <c r="M151" s="8"/>
      <c r="N151" s="35">
        <v>1</v>
      </c>
      <c r="O151" s="35">
        <v>2</v>
      </c>
      <c r="P151" s="35">
        <v>3</v>
      </c>
      <c r="Q151" s="35">
        <v>4</v>
      </c>
      <c r="R151" s="35">
        <v>5</v>
      </c>
      <c r="S151" s="35">
        <v>6</v>
      </c>
      <c r="T151" s="35">
        <v>7</v>
      </c>
      <c r="U151" s="35">
        <v>8</v>
      </c>
      <c r="V151" s="35">
        <v>9</v>
      </c>
      <c r="W151" s="35">
        <v>10</v>
      </c>
      <c r="X151" s="8"/>
      <c r="Y151" s="8" t="s">
        <v>119</v>
      </c>
      <c r="Z151" s="8" t="s">
        <v>118</v>
      </c>
    </row>
    <row r="152" spans="9:26" x14ac:dyDescent="0.25">
      <c r="I152" s="8" t="s">
        <v>70</v>
      </c>
      <c r="J152" s="8"/>
      <c r="K152" s="8"/>
      <c r="L152" s="8"/>
      <c r="M152" s="8"/>
      <c r="N152" s="6">
        <v>0</v>
      </c>
      <c r="O152" s="6">
        <v>0</v>
      </c>
      <c r="P152" s="6">
        <v>0</v>
      </c>
      <c r="Q152" s="6">
        <v>0</v>
      </c>
      <c r="R152" s="6">
        <v>0</v>
      </c>
      <c r="S152" s="6">
        <v>0</v>
      </c>
      <c r="T152" s="6">
        <v>0</v>
      </c>
      <c r="U152" s="6">
        <v>1</v>
      </c>
      <c r="V152" s="6">
        <v>0</v>
      </c>
      <c r="W152" s="6">
        <v>0</v>
      </c>
      <c r="X152" s="8"/>
      <c r="Y152" s="6">
        <v>0</v>
      </c>
      <c r="Z152" s="8">
        <v>7</v>
      </c>
    </row>
    <row r="153" spans="9:26" x14ac:dyDescent="0.25">
      <c r="I153" s="8" t="s">
        <v>72</v>
      </c>
      <c r="J153" s="8"/>
      <c r="K153" s="8"/>
      <c r="L153" s="8"/>
      <c r="M153" s="8"/>
      <c r="N153" s="6">
        <v>0.1</v>
      </c>
      <c r="O153" s="6">
        <v>0.1</v>
      </c>
      <c r="P153" s="6">
        <v>0.1</v>
      </c>
      <c r="Q153" s="6">
        <v>0.1</v>
      </c>
      <c r="R153" s="6">
        <v>0.1</v>
      </c>
      <c r="S153" s="6">
        <v>0.1</v>
      </c>
      <c r="T153" s="6">
        <v>0.1</v>
      </c>
      <c r="U153" s="6">
        <v>0.1</v>
      </c>
      <c r="V153" s="6">
        <v>0.20000000000000007</v>
      </c>
      <c r="W153" s="6">
        <v>0</v>
      </c>
      <c r="X153" s="8"/>
      <c r="Y153" s="6">
        <v>0.1</v>
      </c>
      <c r="Z153" s="8">
        <v>8</v>
      </c>
    </row>
    <row r="154" spans="9:26" x14ac:dyDescent="0.25">
      <c r="I154" s="8" t="s">
        <v>73</v>
      </c>
      <c r="J154" s="8"/>
      <c r="K154" s="8"/>
      <c r="L154" s="8"/>
      <c r="M154" s="8"/>
      <c r="N154" s="6">
        <v>0.05</v>
      </c>
      <c r="O154" s="6">
        <v>0.05</v>
      </c>
      <c r="P154" s="6">
        <v>0.05</v>
      </c>
      <c r="Q154" s="6">
        <v>0.05</v>
      </c>
      <c r="R154" s="6">
        <v>0.05</v>
      </c>
      <c r="S154" s="6">
        <v>0.05</v>
      </c>
      <c r="T154" s="6">
        <v>0.05</v>
      </c>
      <c r="U154" s="6">
        <v>0.05</v>
      </c>
      <c r="V154" s="6">
        <v>0.05</v>
      </c>
      <c r="W154" s="6">
        <v>0.55000000000000004</v>
      </c>
      <c r="X154" s="8"/>
      <c r="Y154" s="6">
        <v>0.05</v>
      </c>
      <c r="Z154" s="8">
        <v>9</v>
      </c>
    </row>
    <row r="155" spans="9:26" x14ac:dyDescent="0.25"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7" spans="9:26" ht="15.75" x14ac:dyDescent="0.25">
      <c r="I157" s="23" t="s">
        <v>86</v>
      </c>
    </row>
    <row r="158" spans="9:26" x14ac:dyDescent="0.25">
      <c r="I158" s="13" t="s">
        <v>169</v>
      </c>
      <c r="J158" s="18">
        <v>2020</v>
      </c>
      <c r="K158" s="18">
        <v>2021</v>
      </c>
      <c r="L158" s="18">
        <v>2022</v>
      </c>
      <c r="M158" s="13"/>
      <c r="N158" s="14">
        <v>2023</v>
      </c>
      <c r="O158" s="14">
        <v>2024</v>
      </c>
      <c r="P158" s="14">
        <v>2025</v>
      </c>
      <c r="Q158" s="14">
        <v>2026</v>
      </c>
      <c r="R158" s="14">
        <v>2027</v>
      </c>
      <c r="S158" s="14">
        <v>2028</v>
      </c>
      <c r="T158" s="14">
        <v>2029</v>
      </c>
      <c r="U158" s="14">
        <v>2030</v>
      </c>
      <c r="V158" s="14">
        <v>2031</v>
      </c>
      <c r="W158" s="14">
        <v>2032</v>
      </c>
    </row>
    <row r="159" spans="9:26" x14ac:dyDescent="0.25">
      <c r="I159" s="8" t="s">
        <v>133</v>
      </c>
      <c r="J159" s="8"/>
      <c r="K159" s="8"/>
      <c r="L159" s="8"/>
      <c r="M159" s="8"/>
      <c r="N159" s="8">
        <v>40000</v>
      </c>
      <c r="O159" s="8">
        <f>N161</f>
        <v>40000</v>
      </c>
      <c r="P159" s="8">
        <f t="shared" ref="P159:U159" si="87">O161</f>
        <v>40000</v>
      </c>
      <c r="Q159" s="8">
        <f t="shared" si="87"/>
        <v>40000</v>
      </c>
      <c r="R159" s="8">
        <f t="shared" si="87"/>
        <v>40000</v>
      </c>
      <c r="S159" s="8">
        <f t="shared" si="87"/>
        <v>40000</v>
      </c>
      <c r="T159" s="8">
        <f t="shared" si="87"/>
        <v>40000</v>
      </c>
      <c r="U159" s="8">
        <f t="shared" si="87"/>
        <v>40000</v>
      </c>
      <c r="V159" s="8">
        <v>0</v>
      </c>
      <c r="W159" s="8">
        <v>0</v>
      </c>
    </row>
    <row r="160" spans="9:26" x14ac:dyDescent="0.25">
      <c r="I160" s="8" t="s">
        <v>134</v>
      </c>
      <c r="J160" s="8"/>
      <c r="K160" s="8"/>
      <c r="L160" s="8"/>
      <c r="M160" s="8"/>
      <c r="N160" s="8">
        <f>-N152*N159</f>
        <v>0</v>
      </c>
      <c r="O160" s="8">
        <f t="shared" ref="O160:T160" si="88">-O152*O159</f>
        <v>0</v>
      </c>
      <c r="P160" s="8">
        <f t="shared" si="88"/>
        <v>0</v>
      </c>
      <c r="Q160" s="8">
        <f t="shared" si="88"/>
        <v>0</v>
      </c>
      <c r="R160" s="8">
        <f t="shared" si="88"/>
        <v>0</v>
      </c>
      <c r="S160" s="8">
        <f t="shared" si="88"/>
        <v>0</v>
      </c>
      <c r="T160" s="8">
        <f t="shared" si="88"/>
        <v>0</v>
      </c>
      <c r="U160" s="8">
        <f>-U152*U159</f>
        <v>-40000</v>
      </c>
      <c r="V160" s="8">
        <v>0</v>
      </c>
      <c r="W160" s="8">
        <v>0</v>
      </c>
    </row>
    <row r="161" spans="9:23" x14ac:dyDescent="0.25">
      <c r="I161" s="8" t="s">
        <v>135</v>
      </c>
      <c r="J161" s="8"/>
      <c r="K161" s="8"/>
      <c r="L161" s="8"/>
      <c r="M161" s="8"/>
      <c r="N161" s="8">
        <f>N159+N160</f>
        <v>40000</v>
      </c>
      <c r="O161" s="8">
        <f t="shared" ref="O161:W161" si="89">O159+O160</f>
        <v>40000</v>
      </c>
      <c r="P161" s="8">
        <f t="shared" si="89"/>
        <v>40000</v>
      </c>
      <c r="Q161" s="8">
        <f t="shared" si="89"/>
        <v>40000</v>
      </c>
      <c r="R161" s="8">
        <f t="shared" si="89"/>
        <v>40000</v>
      </c>
      <c r="S161" s="8">
        <f t="shared" si="89"/>
        <v>40000</v>
      </c>
      <c r="T161" s="8">
        <f t="shared" si="89"/>
        <v>40000</v>
      </c>
      <c r="U161" s="8">
        <f t="shared" si="89"/>
        <v>0</v>
      </c>
      <c r="V161" s="8">
        <f t="shared" si="89"/>
        <v>0</v>
      </c>
      <c r="W161" s="8">
        <f t="shared" si="89"/>
        <v>0</v>
      </c>
    </row>
    <row r="162" spans="9:23" x14ac:dyDescent="0.25">
      <c r="I162" s="8" t="s">
        <v>136</v>
      </c>
      <c r="J162" s="8"/>
      <c r="K162" s="8"/>
      <c r="L162" s="8"/>
      <c r="M162" s="8"/>
      <c r="N162" s="8">
        <f>-N146*N159</f>
        <v>-2000</v>
      </c>
      <c r="O162" s="8">
        <f t="shared" ref="O162:U162" si="90">-O146*O159</f>
        <v>-2200</v>
      </c>
      <c r="P162" s="8">
        <f t="shared" si="90"/>
        <v>-2200</v>
      </c>
      <c r="Q162" s="8">
        <f t="shared" si="90"/>
        <v>-2400</v>
      </c>
      <c r="R162" s="8">
        <f t="shared" si="90"/>
        <v>-2400</v>
      </c>
      <c r="S162" s="8">
        <f t="shared" si="90"/>
        <v>-2400</v>
      </c>
      <c r="T162" s="8">
        <f t="shared" si="90"/>
        <v>-2400</v>
      </c>
      <c r="U162" s="8">
        <f t="shared" si="90"/>
        <v>-2400</v>
      </c>
      <c r="V162" s="8">
        <v>0</v>
      </c>
      <c r="W162" s="8">
        <v>0</v>
      </c>
    </row>
    <row r="163" spans="9:23" x14ac:dyDescent="0.25"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</row>
    <row r="164" spans="9:23" x14ac:dyDescent="0.25">
      <c r="I164" s="8" t="s">
        <v>137</v>
      </c>
      <c r="J164" s="8"/>
      <c r="K164" s="8"/>
      <c r="L164" s="8"/>
      <c r="M164" s="8"/>
      <c r="N164" s="8">
        <v>60000</v>
      </c>
      <c r="O164" s="8">
        <f>N166</f>
        <v>54000</v>
      </c>
      <c r="P164" s="8">
        <f t="shared" ref="P164:V164" si="91">O166</f>
        <v>48000</v>
      </c>
      <c r="Q164" s="8">
        <f t="shared" si="91"/>
        <v>42000</v>
      </c>
      <c r="R164" s="8">
        <f t="shared" si="91"/>
        <v>36000</v>
      </c>
      <c r="S164" s="8">
        <f t="shared" si="91"/>
        <v>30000</v>
      </c>
      <c r="T164" s="8">
        <f t="shared" si="91"/>
        <v>24000</v>
      </c>
      <c r="U164" s="8">
        <f t="shared" si="91"/>
        <v>18000</v>
      </c>
      <c r="V164" s="8">
        <f t="shared" si="91"/>
        <v>12000</v>
      </c>
      <c r="W164" s="8">
        <v>0</v>
      </c>
    </row>
    <row r="165" spans="9:23" x14ac:dyDescent="0.25">
      <c r="I165" s="8" t="s">
        <v>138</v>
      </c>
      <c r="J165" s="8"/>
      <c r="K165" s="8"/>
      <c r="L165" s="8"/>
      <c r="M165" s="8"/>
      <c r="N165" s="8">
        <f>-N153*$N164</f>
        <v>-6000</v>
      </c>
      <c r="O165" s="8">
        <f t="shared" ref="O165:U165" si="92">-O153*$N164</f>
        <v>-6000</v>
      </c>
      <c r="P165" s="8">
        <f t="shared" si="92"/>
        <v>-6000</v>
      </c>
      <c r="Q165" s="8">
        <f t="shared" si="92"/>
        <v>-6000</v>
      </c>
      <c r="R165" s="8">
        <f t="shared" si="92"/>
        <v>-6000</v>
      </c>
      <c r="S165" s="8">
        <f t="shared" si="92"/>
        <v>-6000</v>
      </c>
      <c r="T165" s="8">
        <f t="shared" si="92"/>
        <v>-6000</v>
      </c>
      <c r="U165" s="8">
        <f t="shared" si="92"/>
        <v>-6000</v>
      </c>
      <c r="V165" s="8">
        <v>-12000.000000000004</v>
      </c>
      <c r="W165" s="8">
        <v>0</v>
      </c>
    </row>
    <row r="166" spans="9:23" x14ac:dyDescent="0.25">
      <c r="I166" s="8" t="s">
        <v>139</v>
      </c>
      <c r="J166" s="8"/>
      <c r="K166" s="8"/>
      <c r="L166" s="8"/>
      <c r="M166" s="8"/>
      <c r="N166" s="8">
        <f>N164+N165</f>
        <v>54000</v>
      </c>
      <c r="O166" s="8">
        <f t="shared" ref="O166:W166" si="93">O164+O165</f>
        <v>48000</v>
      </c>
      <c r="P166" s="8">
        <f t="shared" si="93"/>
        <v>42000</v>
      </c>
      <c r="Q166" s="8">
        <f t="shared" si="93"/>
        <v>36000</v>
      </c>
      <c r="R166" s="8">
        <f t="shared" si="93"/>
        <v>30000</v>
      </c>
      <c r="S166" s="8">
        <f t="shared" si="93"/>
        <v>24000</v>
      </c>
      <c r="T166" s="8">
        <f t="shared" si="93"/>
        <v>18000</v>
      </c>
      <c r="U166" s="8">
        <f t="shared" si="93"/>
        <v>12000</v>
      </c>
      <c r="V166" s="8">
        <f t="shared" si="93"/>
        <v>0</v>
      </c>
      <c r="W166" s="8">
        <f t="shared" si="93"/>
        <v>0</v>
      </c>
    </row>
    <row r="167" spans="9:23" x14ac:dyDescent="0.25">
      <c r="I167" s="8" t="s">
        <v>140</v>
      </c>
      <c r="J167" s="8"/>
      <c r="K167" s="8"/>
      <c r="L167" s="8"/>
      <c r="M167" s="8"/>
      <c r="N167" s="8">
        <f>-N147*N164</f>
        <v>-3300.0000000000005</v>
      </c>
      <c r="O167" s="8">
        <f t="shared" ref="O167:W167" si="94">-O147*O164</f>
        <v>-3240.0000000000005</v>
      </c>
      <c r="P167" s="8">
        <f t="shared" si="94"/>
        <v>-2880</v>
      </c>
      <c r="Q167" s="8">
        <f t="shared" si="94"/>
        <v>-2730</v>
      </c>
      <c r="R167" s="8">
        <f t="shared" si="94"/>
        <v>-2340</v>
      </c>
      <c r="S167" s="8">
        <f t="shared" si="94"/>
        <v>-1950</v>
      </c>
      <c r="T167" s="8">
        <f t="shared" si="94"/>
        <v>-1560</v>
      </c>
      <c r="U167" s="8">
        <f t="shared" si="94"/>
        <v>-1170</v>
      </c>
      <c r="V167" s="8">
        <f t="shared" si="94"/>
        <v>-780</v>
      </c>
      <c r="W167" s="8">
        <f t="shared" si="94"/>
        <v>0</v>
      </c>
    </row>
    <row r="168" spans="9:23" x14ac:dyDescent="0.25"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</row>
    <row r="169" spans="9:23" x14ac:dyDescent="0.25">
      <c r="I169" s="8" t="s">
        <v>141</v>
      </c>
      <c r="J169" s="8"/>
      <c r="K169" s="8"/>
      <c r="L169" s="8"/>
      <c r="M169" s="8"/>
      <c r="N169" s="8">
        <v>60000</v>
      </c>
      <c r="O169" s="8">
        <f>N171</f>
        <v>57000</v>
      </c>
      <c r="P169" s="8">
        <f t="shared" ref="P169:V169" si="95">O171</f>
        <v>54000</v>
      </c>
      <c r="Q169" s="8">
        <f t="shared" si="95"/>
        <v>51000</v>
      </c>
      <c r="R169" s="8">
        <f t="shared" si="95"/>
        <v>48000</v>
      </c>
      <c r="S169" s="8">
        <f t="shared" si="95"/>
        <v>45000</v>
      </c>
      <c r="T169" s="8">
        <f t="shared" si="95"/>
        <v>42000</v>
      </c>
      <c r="U169" s="8">
        <f t="shared" si="95"/>
        <v>39000</v>
      </c>
      <c r="V169" s="8">
        <f t="shared" si="95"/>
        <v>36000</v>
      </c>
      <c r="W169" s="8">
        <v>33000</v>
      </c>
    </row>
    <row r="170" spans="9:23" x14ac:dyDescent="0.25">
      <c r="I170" s="8" t="s">
        <v>142</v>
      </c>
      <c r="J170" s="8"/>
      <c r="K170" s="8"/>
      <c r="L170" s="8"/>
      <c r="M170" s="8"/>
      <c r="N170" s="8">
        <f>-$N169*N154</f>
        <v>-3000</v>
      </c>
      <c r="O170" s="8">
        <f t="shared" ref="O170:V170" si="96">-$N169*O154</f>
        <v>-3000</v>
      </c>
      <c r="P170" s="8">
        <f t="shared" si="96"/>
        <v>-3000</v>
      </c>
      <c r="Q170" s="8">
        <f t="shared" si="96"/>
        <v>-3000</v>
      </c>
      <c r="R170" s="8">
        <f t="shared" si="96"/>
        <v>-3000</v>
      </c>
      <c r="S170" s="8">
        <f t="shared" si="96"/>
        <v>-3000</v>
      </c>
      <c r="T170" s="8">
        <f t="shared" si="96"/>
        <v>-3000</v>
      </c>
      <c r="U170" s="8">
        <f t="shared" si="96"/>
        <v>-3000</v>
      </c>
      <c r="V170" s="8">
        <f t="shared" si="96"/>
        <v>-3000</v>
      </c>
      <c r="W170" s="8">
        <v>-33000</v>
      </c>
    </row>
    <row r="171" spans="9:23" x14ac:dyDescent="0.25">
      <c r="I171" s="8" t="s">
        <v>143</v>
      </c>
      <c r="J171" s="8"/>
      <c r="K171" s="8"/>
      <c r="L171" s="8"/>
      <c r="M171" s="8"/>
      <c r="N171" s="8">
        <f>N169+N170</f>
        <v>57000</v>
      </c>
      <c r="O171" s="8">
        <f t="shared" ref="O171:V171" si="97">O169+O170</f>
        <v>54000</v>
      </c>
      <c r="P171" s="8">
        <f t="shared" si="97"/>
        <v>51000</v>
      </c>
      <c r="Q171" s="8">
        <f t="shared" si="97"/>
        <v>48000</v>
      </c>
      <c r="R171" s="8">
        <f t="shared" si="97"/>
        <v>45000</v>
      </c>
      <c r="S171" s="8">
        <f t="shared" si="97"/>
        <v>42000</v>
      </c>
      <c r="T171" s="8">
        <f t="shared" si="97"/>
        <v>39000</v>
      </c>
      <c r="U171" s="8">
        <f t="shared" si="97"/>
        <v>36000</v>
      </c>
      <c r="V171" s="8">
        <f t="shared" si="97"/>
        <v>33000</v>
      </c>
      <c r="W171" s="8">
        <v>0</v>
      </c>
    </row>
    <row r="172" spans="9:23" x14ac:dyDescent="0.25">
      <c r="I172" s="8" t="s">
        <v>144</v>
      </c>
      <c r="J172" s="8"/>
      <c r="K172" s="8"/>
      <c r="L172" s="8"/>
      <c r="M172" s="8"/>
      <c r="N172" s="8">
        <f>-N148*N169</f>
        <v>-3600</v>
      </c>
      <c r="O172" s="8">
        <f t="shared" ref="O172:W172" si="98">-O148*O169</f>
        <v>-3705</v>
      </c>
      <c r="P172" s="8">
        <f t="shared" si="98"/>
        <v>-3510</v>
      </c>
      <c r="Q172" s="8">
        <f t="shared" si="98"/>
        <v>-3570.0000000000005</v>
      </c>
      <c r="R172" s="8">
        <f t="shared" si="98"/>
        <v>-3360.0000000000005</v>
      </c>
      <c r="S172" s="8">
        <f t="shared" si="98"/>
        <v>-3150.0000000000005</v>
      </c>
      <c r="T172" s="8">
        <f t="shared" si="98"/>
        <v>-2940.0000000000005</v>
      </c>
      <c r="U172" s="8">
        <f t="shared" si="98"/>
        <v>-2730.0000000000005</v>
      </c>
      <c r="V172" s="8">
        <f t="shared" si="98"/>
        <v>-2520.0000000000005</v>
      </c>
      <c r="W172" s="8">
        <f t="shared" si="98"/>
        <v>-2310</v>
      </c>
    </row>
    <row r="173" spans="9:23" x14ac:dyDescent="0.25"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</row>
    <row r="174" spans="9:23" x14ac:dyDescent="0.25"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</row>
    <row r="175" spans="9:23" x14ac:dyDescent="0.25">
      <c r="I175" s="20" t="s">
        <v>150</v>
      </c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</row>
    <row r="176" spans="9:23" x14ac:dyDescent="0.25">
      <c r="I176" s="8" t="s">
        <v>124</v>
      </c>
      <c r="J176" s="8"/>
      <c r="K176" s="8"/>
      <c r="L176" s="8"/>
      <c r="M176" s="8"/>
      <c r="N176" s="8">
        <f ca="1">N71</f>
        <v>6160.5948530539263</v>
      </c>
      <c r="O176" s="8">
        <f t="shared" ref="O176:W176" ca="1" si="99">O71</f>
        <v>8203.9911390768284</v>
      </c>
      <c r="P176" s="8">
        <f t="shared" ca="1" si="99"/>
        <v>9952.1862656420635</v>
      </c>
      <c r="Q176" s="8">
        <f t="shared" ca="1" si="99"/>
        <v>11463.615006226275</v>
      </c>
      <c r="R176" s="8">
        <f t="shared" ca="1" si="99"/>
        <v>13157.702421363529</v>
      </c>
      <c r="S176" s="8">
        <f t="shared" ca="1" si="99"/>
        <v>15024.072275021279</v>
      </c>
      <c r="T176" s="8">
        <f t="shared" ca="1" si="99"/>
        <v>17076.19049689468</v>
      </c>
      <c r="U176" s="8">
        <f t="shared" ca="1" si="99"/>
        <v>16600.72665319563</v>
      </c>
      <c r="V176" s="8">
        <f t="shared" ca="1" si="99"/>
        <v>19925.008063169102</v>
      </c>
      <c r="W176" s="8">
        <f t="shared" ca="1" si="99"/>
        <v>20588.334663182068</v>
      </c>
    </row>
    <row r="177" spans="9:23" x14ac:dyDescent="0.25">
      <c r="I177" s="8" t="s">
        <v>125</v>
      </c>
      <c r="J177" s="8"/>
      <c r="K177" s="8"/>
      <c r="L177" s="8"/>
      <c r="M177" s="8"/>
      <c r="N177" s="8">
        <f>N74</f>
        <v>-4082.3475000000021</v>
      </c>
      <c r="O177" s="8">
        <f t="shared" ref="O177:W177" si="100">O74</f>
        <v>-4490.5822500000031</v>
      </c>
      <c r="P177" s="8">
        <f t="shared" si="100"/>
        <v>-4939.6404750000038</v>
      </c>
      <c r="Q177" s="8">
        <f t="shared" si="100"/>
        <v>-5285.4153082500034</v>
      </c>
      <c r="R177" s="8">
        <f t="shared" si="100"/>
        <v>-5655.3943798275041</v>
      </c>
      <c r="S177" s="8">
        <f t="shared" si="100"/>
        <v>-6051.2719864154296</v>
      </c>
      <c r="T177" s="8">
        <f t="shared" si="100"/>
        <v>-6353.8355857362021</v>
      </c>
      <c r="U177" s="8">
        <f t="shared" si="100"/>
        <v>-6671.5273650230129</v>
      </c>
      <c r="V177" s="8">
        <f t="shared" si="100"/>
        <v>-6938.3884596239341</v>
      </c>
      <c r="W177" s="8">
        <f t="shared" si="100"/>
        <v>-7146.5401134126523</v>
      </c>
    </row>
    <row r="178" spans="9:23" x14ac:dyDescent="0.25">
      <c r="I178" s="8" t="s">
        <v>151</v>
      </c>
      <c r="J178" s="8"/>
      <c r="K178" s="8"/>
      <c r="L178" s="8"/>
      <c r="M178" s="8"/>
      <c r="N178" s="8">
        <f>N78</f>
        <v>-9000</v>
      </c>
      <c r="O178" s="8">
        <f t="shared" ref="O178:W178" si="101">O78</f>
        <v>-9000</v>
      </c>
      <c r="P178" s="8">
        <f t="shared" si="101"/>
        <v>-9000</v>
      </c>
      <c r="Q178" s="8">
        <f t="shared" si="101"/>
        <v>-9000</v>
      </c>
      <c r="R178" s="8">
        <f t="shared" si="101"/>
        <v>-9000</v>
      </c>
      <c r="S178" s="8">
        <f t="shared" si="101"/>
        <v>-9000</v>
      </c>
      <c r="T178" s="8">
        <f t="shared" si="101"/>
        <v>-9000</v>
      </c>
      <c r="U178" s="8">
        <f t="shared" si="101"/>
        <v>-49000</v>
      </c>
      <c r="V178" s="8">
        <f t="shared" si="101"/>
        <v>-15000.000000000004</v>
      </c>
      <c r="W178" s="8">
        <f t="shared" si="101"/>
        <v>-33000</v>
      </c>
    </row>
    <row r="179" spans="9:23" x14ac:dyDescent="0.25">
      <c r="I179" s="8" t="s">
        <v>152</v>
      </c>
      <c r="J179" s="8"/>
      <c r="K179" s="8"/>
      <c r="L179" s="8"/>
      <c r="M179" s="8"/>
      <c r="N179" s="8">
        <f ca="1">SUM(N176:N178)</f>
        <v>-6921.7526469460754</v>
      </c>
      <c r="O179" s="8">
        <f t="shared" ref="O179:W179" ca="1" si="102">SUM(O176:O178)</f>
        <v>-5286.5911109231747</v>
      </c>
      <c r="P179" s="8">
        <f t="shared" ca="1" si="102"/>
        <v>-3987.4542093579403</v>
      </c>
      <c r="Q179" s="8">
        <f t="shared" ca="1" si="102"/>
        <v>-2821.8003020237284</v>
      </c>
      <c r="R179" s="8">
        <f t="shared" ca="1" si="102"/>
        <v>-1497.6919584639754</v>
      </c>
      <c r="S179" s="8">
        <f t="shared" ca="1" si="102"/>
        <v>-27.199711394150654</v>
      </c>
      <c r="T179" s="8">
        <f t="shared" ca="1" si="102"/>
        <v>1722.354911158478</v>
      </c>
      <c r="U179" s="8">
        <f t="shared" ca="1" si="102"/>
        <v>-39070.800711827382</v>
      </c>
      <c r="V179" s="8">
        <f t="shared" ca="1" si="102"/>
        <v>-2013.3803964548351</v>
      </c>
      <c r="W179" s="8">
        <f t="shared" ca="1" si="102"/>
        <v>-19558.205450230584</v>
      </c>
    </row>
    <row r="180" spans="9:23" x14ac:dyDescent="0.25">
      <c r="I180" s="8" t="s">
        <v>155</v>
      </c>
      <c r="J180" s="8"/>
      <c r="K180" s="8"/>
      <c r="L180" s="8"/>
      <c r="M180" s="8"/>
      <c r="N180" s="8">
        <v>8820.1102079991761</v>
      </c>
      <c r="O180" s="8">
        <f ca="1">O37</f>
        <v>8001.4575682142677</v>
      </c>
      <c r="P180" s="8">
        <v>8000</v>
      </c>
      <c r="Q180" s="8">
        <v>8000</v>
      </c>
      <c r="R180" s="8">
        <v>8000</v>
      </c>
      <c r="S180" s="8">
        <v>8000</v>
      </c>
      <c r="T180" s="8">
        <v>8935.1913256086737</v>
      </c>
      <c r="U180" s="8">
        <v>11699.447730498241</v>
      </c>
      <c r="V180" s="8">
        <v>7999.9999999999982</v>
      </c>
      <c r="W180" s="8">
        <v>7999.9999999999982</v>
      </c>
    </row>
    <row r="181" spans="9:23" x14ac:dyDescent="0.25">
      <c r="I181" s="8" t="s">
        <v>153</v>
      </c>
      <c r="J181" s="8"/>
      <c r="K181" s="8"/>
      <c r="L181" s="8"/>
      <c r="M181" s="8"/>
      <c r="N181" s="8">
        <f ca="1">SUM(N179:N180)</f>
        <v>1898.3575610531007</v>
      </c>
      <c r="O181" s="8">
        <f t="shared" ref="O181:W181" ca="1" si="103">SUM(O179:O180)</f>
        <v>2714.866457291093</v>
      </c>
      <c r="P181" s="8">
        <f t="shared" ca="1" si="103"/>
        <v>4012.5457906420597</v>
      </c>
      <c r="Q181" s="8">
        <f t="shared" ca="1" si="103"/>
        <v>5178.1996979762716</v>
      </c>
      <c r="R181" s="8">
        <f t="shared" ca="1" si="103"/>
        <v>6502.3080415360246</v>
      </c>
      <c r="S181" s="8">
        <f t="shared" ca="1" si="103"/>
        <v>7972.8002886058493</v>
      </c>
      <c r="T181" s="8">
        <f t="shared" ca="1" si="103"/>
        <v>10657.546236767152</v>
      </c>
      <c r="U181" s="8">
        <f t="shared" ca="1" si="103"/>
        <v>-27371.352981329139</v>
      </c>
      <c r="V181" s="8">
        <f t="shared" ca="1" si="103"/>
        <v>5986.619603545163</v>
      </c>
      <c r="W181" s="8">
        <f t="shared" ca="1" si="103"/>
        <v>-11558.205450230585</v>
      </c>
    </row>
    <row r="182" spans="9:23" x14ac:dyDescent="0.25">
      <c r="I182" s="8" t="s">
        <v>14</v>
      </c>
      <c r="J182" s="8"/>
      <c r="K182" s="8"/>
      <c r="L182" s="8"/>
      <c r="M182" s="8"/>
      <c r="N182" s="8">
        <f>Sheet1!D14</f>
        <v>8000</v>
      </c>
      <c r="O182" s="8">
        <v>8000</v>
      </c>
      <c r="P182" s="8">
        <v>8000</v>
      </c>
      <c r="Q182" s="8">
        <v>8000</v>
      </c>
      <c r="R182" s="8">
        <v>8000</v>
      </c>
      <c r="S182" s="8">
        <v>8000</v>
      </c>
      <c r="T182" s="8">
        <v>8000</v>
      </c>
      <c r="U182" s="8">
        <v>8000</v>
      </c>
      <c r="V182" s="8">
        <v>8000</v>
      </c>
      <c r="W182" s="8">
        <v>8000</v>
      </c>
    </row>
    <row r="183" spans="9:23" x14ac:dyDescent="0.25">
      <c r="I183" s="8" t="s">
        <v>154</v>
      </c>
      <c r="J183" s="8"/>
      <c r="K183" s="8"/>
      <c r="L183" s="8"/>
      <c r="M183" s="8"/>
      <c r="N183" s="8">
        <f ca="1">N181-N182</f>
        <v>-6101.6424389468993</v>
      </c>
      <c r="O183" s="8">
        <f t="shared" ref="O183:W183" ca="1" si="104">O181-O182</f>
        <v>-5285.133542708907</v>
      </c>
      <c r="P183" s="8">
        <f t="shared" ca="1" si="104"/>
        <v>-3987.4542093579403</v>
      </c>
      <c r="Q183" s="8">
        <f t="shared" ca="1" si="104"/>
        <v>-2821.8003020237284</v>
      </c>
      <c r="R183" s="8">
        <f t="shared" ca="1" si="104"/>
        <v>-1497.6919584639754</v>
      </c>
      <c r="S183" s="8">
        <f t="shared" ca="1" si="104"/>
        <v>-27.199711394150654</v>
      </c>
      <c r="T183" s="8">
        <f t="shared" ca="1" si="104"/>
        <v>2657.5462367671516</v>
      </c>
      <c r="U183" s="8">
        <f t="shared" ca="1" si="104"/>
        <v>-35371.352981329139</v>
      </c>
      <c r="V183" s="8">
        <f t="shared" ca="1" si="104"/>
        <v>-2013.380396454837</v>
      </c>
      <c r="W183" s="8">
        <f t="shared" ca="1" si="104"/>
        <v>-19558.205450230584</v>
      </c>
    </row>
    <row r="184" spans="9:23" x14ac:dyDescent="0.25"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</row>
    <row r="185" spans="9:23" x14ac:dyDescent="0.25">
      <c r="I185" s="8" t="s">
        <v>156</v>
      </c>
      <c r="J185" s="8"/>
      <c r="K185" s="8"/>
      <c r="L185" s="8"/>
      <c r="M185" s="8"/>
      <c r="N185" s="8">
        <f ca="1">IF(N183&lt;=0,-N183,N1830)</f>
        <v>6101.6424389468993</v>
      </c>
      <c r="O185" s="8">
        <f t="shared" ref="O185:W185" ca="1" si="105">IF(O183&lt;=0,-O183,O1830)</f>
        <v>5285.133542708907</v>
      </c>
      <c r="P185" s="8">
        <f t="shared" ca="1" si="105"/>
        <v>3987.4542093579403</v>
      </c>
      <c r="Q185" s="8">
        <f t="shared" ca="1" si="105"/>
        <v>2821.8003020237284</v>
      </c>
      <c r="R185" s="8">
        <f t="shared" ca="1" si="105"/>
        <v>1497.6919584639754</v>
      </c>
      <c r="S185" s="8">
        <f t="shared" ca="1" si="105"/>
        <v>27.199711394150654</v>
      </c>
      <c r="T185" s="8">
        <f t="shared" ca="1" si="105"/>
        <v>0</v>
      </c>
      <c r="U185" s="8">
        <f t="shared" ca="1" si="105"/>
        <v>35371.352981329139</v>
      </c>
      <c r="V185" s="8">
        <f t="shared" ca="1" si="105"/>
        <v>2013.380396454837</v>
      </c>
      <c r="W185" s="8">
        <f t="shared" ca="1" si="105"/>
        <v>19558.205450230584</v>
      </c>
    </row>
    <row r="186" spans="9:23" x14ac:dyDescent="0.25">
      <c r="I186" s="8" t="s">
        <v>157</v>
      </c>
      <c r="J186" s="8"/>
      <c r="K186" s="8"/>
      <c r="L186" s="8"/>
      <c r="M186" s="8"/>
      <c r="N186" s="8">
        <v>0</v>
      </c>
      <c r="O186" s="8">
        <v>0</v>
      </c>
      <c r="P186" s="8">
        <v>0</v>
      </c>
      <c r="Q186" s="8">
        <v>0</v>
      </c>
      <c r="R186" s="8">
        <v>0</v>
      </c>
      <c r="S186" s="8">
        <v>0</v>
      </c>
      <c r="T186" s="8">
        <v>0</v>
      </c>
      <c r="U186" s="8">
        <v>0</v>
      </c>
      <c r="V186" s="8">
        <v>0</v>
      </c>
      <c r="W186" s="8">
        <v>0</v>
      </c>
    </row>
    <row r="187" spans="9:23" x14ac:dyDescent="0.25">
      <c r="I187" s="8" t="s">
        <v>158</v>
      </c>
      <c r="J187" s="8"/>
      <c r="K187" s="8"/>
      <c r="L187" s="8"/>
      <c r="M187" s="8"/>
      <c r="N187" s="8">
        <f ca="1">N185+N186</f>
        <v>6101.6424389468993</v>
      </c>
      <c r="O187" s="8">
        <f ca="1">N187+O185+O186</f>
        <v>11386.775981655806</v>
      </c>
      <c r="P187" s="8">
        <f t="shared" ref="P187:W187" ca="1" si="106">O187+P185+P186</f>
        <v>15374.230191013747</v>
      </c>
      <c r="Q187" s="8">
        <f t="shared" ca="1" si="106"/>
        <v>18196.030493037477</v>
      </c>
      <c r="R187" s="8">
        <f t="shared" ca="1" si="106"/>
        <v>19693.722451501453</v>
      </c>
      <c r="S187" s="8">
        <f t="shared" ca="1" si="106"/>
        <v>19720.922162895604</v>
      </c>
      <c r="T187" s="8">
        <f t="shared" ca="1" si="106"/>
        <v>19720.922162895604</v>
      </c>
      <c r="U187" s="8">
        <f t="shared" ca="1" si="106"/>
        <v>55092.275144224739</v>
      </c>
      <c r="V187" s="8">
        <f t="shared" ca="1" si="106"/>
        <v>57105.655540679574</v>
      </c>
      <c r="W187" s="8">
        <f t="shared" ca="1" si="106"/>
        <v>76663.860990910151</v>
      </c>
    </row>
    <row r="188" spans="9:23" x14ac:dyDescent="0.25">
      <c r="I188" s="8" t="s">
        <v>159</v>
      </c>
      <c r="J188" s="8"/>
      <c r="K188" s="8"/>
      <c r="L188" s="8"/>
      <c r="M188" s="8"/>
      <c r="N188" s="8">
        <f ca="1">-N187*N149</f>
        <v>-427.11497072628299</v>
      </c>
      <c r="O188" s="8">
        <f t="shared" ref="O188:W188" ca="1" si="107">-O187*O149</f>
        <v>-854.00819862418564</v>
      </c>
      <c r="P188" s="8">
        <f t="shared" ca="1" si="107"/>
        <v>-1153.0672643260311</v>
      </c>
      <c r="Q188" s="8">
        <f t="shared" ca="1" si="107"/>
        <v>-1455.6824394429982</v>
      </c>
      <c r="R188" s="8">
        <f t="shared" ca="1" si="107"/>
        <v>-1575.4977961201164</v>
      </c>
      <c r="S188" s="8">
        <f t="shared" ca="1" si="107"/>
        <v>-1577.6737730316484</v>
      </c>
      <c r="T188" s="8">
        <f t="shared" ca="1" si="107"/>
        <v>-1577.6737730316484</v>
      </c>
      <c r="U188" s="8">
        <f t="shared" ca="1" si="107"/>
        <v>-4407.3820115379795</v>
      </c>
      <c r="V188" s="8">
        <f t="shared" ca="1" si="107"/>
        <v>-4568.4524432543658</v>
      </c>
      <c r="W188" s="8">
        <f t="shared" ca="1" si="107"/>
        <v>-6133.1088792728124</v>
      </c>
    </row>
    <row r="191" spans="9:23" ht="15.75" x14ac:dyDescent="0.25">
      <c r="I191" s="23" t="s">
        <v>145</v>
      </c>
    </row>
    <row r="192" spans="9:23" x14ac:dyDescent="0.25">
      <c r="I192" s="13" t="s">
        <v>169</v>
      </c>
      <c r="J192" s="18">
        <v>2020</v>
      </c>
      <c r="K192" s="18">
        <v>2021</v>
      </c>
      <c r="L192" s="18">
        <v>2022</v>
      </c>
      <c r="M192" s="13"/>
      <c r="N192" s="14">
        <v>2023</v>
      </c>
      <c r="O192" s="14">
        <v>2024</v>
      </c>
      <c r="P192" s="14">
        <v>2025</v>
      </c>
      <c r="Q192" s="14">
        <v>2026</v>
      </c>
      <c r="R192" s="14">
        <v>2027</v>
      </c>
      <c r="S192" s="14">
        <v>2028</v>
      </c>
      <c r="T192" s="14">
        <v>2029</v>
      </c>
      <c r="U192" s="14">
        <v>2030</v>
      </c>
      <c r="V192" s="14">
        <v>2031</v>
      </c>
      <c r="W192" s="14">
        <v>2032</v>
      </c>
    </row>
    <row r="193" spans="9:23" x14ac:dyDescent="0.25">
      <c r="I193" s="8" t="s">
        <v>146</v>
      </c>
      <c r="J193" s="8"/>
      <c r="K193" s="8">
        <v>50930.124656259795</v>
      </c>
      <c r="L193" s="8">
        <v>58451.646250970705</v>
      </c>
      <c r="M193" s="8"/>
      <c r="N193" s="8">
        <f>M198</f>
        <v>39581.512959999993</v>
      </c>
      <c r="O193" s="8">
        <f t="shared" ref="O193:W193" ca="1" si="108">N198</f>
        <v>45826.87376551464</v>
      </c>
      <c r="P193" s="8">
        <f t="shared" ca="1" si="108"/>
        <v>52810.958938392971</v>
      </c>
      <c r="Q193" s="8">
        <f t="shared" ca="1" si="108"/>
        <v>61361.42734490108</v>
      </c>
      <c r="R193" s="8">
        <f t="shared" ca="1" si="108"/>
        <v>70610.452857433906</v>
      </c>
      <c r="S193" s="8">
        <f t="shared" ca="1" si="108"/>
        <v>81298.665888236734</v>
      </c>
      <c r="T193" s="8">
        <f t="shared" ca="1" si="108"/>
        <v>93607.047114124347</v>
      </c>
      <c r="U193" s="8">
        <f t="shared" ca="1" si="108"/>
        <v>107194.08958595277</v>
      </c>
      <c r="V193" s="8">
        <f t="shared" ca="1" si="108"/>
        <v>120154.20591093342</v>
      </c>
      <c r="W193" s="8">
        <f t="shared" ca="1" si="108"/>
        <v>136019.29244610746</v>
      </c>
    </row>
    <row r="194" spans="9:23" x14ac:dyDescent="0.25">
      <c r="I194" s="8" t="s">
        <v>32</v>
      </c>
      <c r="J194" s="8"/>
      <c r="K194" s="8">
        <v>7521.5215947109091</v>
      </c>
      <c r="L194" s="8">
        <v>9118.7860851036676</v>
      </c>
      <c r="M194" s="8"/>
      <c r="N194" s="8">
        <f ca="1">N32</f>
        <v>6245.3608055146433</v>
      </c>
      <c r="O194" s="8">
        <f t="shared" ref="O194:W194" ca="1" si="109">O32</f>
        <v>6984.2327843444991</v>
      </c>
      <c r="P194" s="8">
        <f t="shared" ca="1" si="109"/>
        <v>8550.6021684067091</v>
      </c>
      <c r="Q194" s="8">
        <f t="shared" ca="1" si="109"/>
        <v>9249.0017056077977</v>
      </c>
      <c r="R194" s="8">
        <f t="shared" ca="1" si="109"/>
        <v>10688.180790741473</v>
      </c>
      <c r="S194" s="8">
        <f t="shared" ca="1" si="109"/>
        <v>12308.502819288957</v>
      </c>
      <c r="T194" s="8">
        <f t="shared" ca="1" si="109"/>
        <v>13587.172697994112</v>
      </c>
      <c r="U194" s="8">
        <f t="shared" ca="1" si="109"/>
        <v>12960.080781339679</v>
      </c>
      <c r="V194" s="8">
        <f t="shared" ca="1" si="109"/>
        <v>15865.019226238292</v>
      </c>
      <c r="W194" s="8">
        <f t="shared" ca="1" si="109"/>
        <v>16036.227252687881</v>
      </c>
    </row>
    <row r="195" spans="9:23" x14ac:dyDescent="0.25">
      <c r="I195" s="8" t="s">
        <v>147</v>
      </c>
      <c r="J195" s="8"/>
      <c r="K195" s="8">
        <v>0</v>
      </c>
      <c r="L195" s="8">
        <v>0</v>
      </c>
      <c r="M195" s="8"/>
      <c r="N195" s="8">
        <v>0</v>
      </c>
      <c r="O195" s="8">
        <v>0</v>
      </c>
      <c r="P195" s="8">
        <v>0</v>
      </c>
      <c r="Q195" s="8">
        <v>0</v>
      </c>
      <c r="R195" s="8">
        <v>0</v>
      </c>
      <c r="S195" s="8">
        <v>0</v>
      </c>
      <c r="T195" s="8">
        <v>0</v>
      </c>
      <c r="U195" s="8">
        <v>0</v>
      </c>
      <c r="V195" s="8">
        <v>0</v>
      </c>
      <c r="W195" s="8">
        <v>0</v>
      </c>
    </row>
    <row r="196" spans="9:23" x14ac:dyDescent="0.25">
      <c r="I196" s="8" t="s">
        <v>130</v>
      </c>
      <c r="J196" s="8"/>
      <c r="K196" s="8">
        <v>0</v>
      </c>
      <c r="L196" s="8">
        <v>-19866.358748075199</v>
      </c>
      <c r="M196" s="8"/>
      <c r="N196" s="8">
        <v>0</v>
      </c>
      <c r="O196" s="8">
        <v>0</v>
      </c>
      <c r="P196" s="8">
        <v>0</v>
      </c>
      <c r="Q196" s="8">
        <v>0</v>
      </c>
      <c r="R196" s="8">
        <v>0</v>
      </c>
      <c r="S196" s="8">
        <v>0</v>
      </c>
      <c r="T196" s="8">
        <v>0</v>
      </c>
      <c r="U196" s="8">
        <v>0</v>
      </c>
      <c r="V196" s="8">
        <v>0</v>
      </c>
      <c r="W196" s="8">
        <v>0</v>
      </c>
    </row>
    <row r="197" spans="9:23" x14ac:dyDescent="0.25">
      <c r="I197" s="8" t="s">
        <v>148</v>
      </c>
      <c r="J197" s="8">
        <v>0</v>
      </c>
      <c r="K197" s="8">
        <v>0</v>
      </c>
      <c r="L197" s="8">
        <v>0</v>
      </c>
      <c r="M197" s="8"/>
      <c r="N197" s="8">
        <v>0</v>
      </c>
      <c r="O197" s="8">
        <v>0</v>
      </c>
      <c r="P197" s="8">
        <v>0</v>
      </c>
      <c r="Q197" s="8">
        <v>0</v>
      </c>
      <c r="R197" s="8">
        <v>0</v>
      </c>
      <c r="S197" s="8">
        <v>0</v>
      </c>
      <c r="T197" s="8">
        <v>0</v>
      </c>
      <c r="U197" s="8">
        <v>0</v>
      </c>
      <c r="V197" s="8">
        <v>0</v>
      </c>
      <c r="W197" s="8">
        <v>0</v>
      </c>
    </row>
    <row r="198" spans="9:23" x14ac:dyDescent="0.25">
      <c r="I198" s="8" t="s">
        <v>149</v>
      </c>
      <c r="J198" s="8"/>
      <c r="K198" s="8">
        <v>58451.646250970705</v>
      </c>
      <c r="L198" s="8">
        <v>47704.07358799917</v>
      </c>
      <c r="M198" s="8">
        <f>E62</f>
        <v>39581.512959999993</v>
      </c>
      <c r="N198" s="8">
        <f ca="1">SUM(N193:N197)</f>
        <v>45826.87376551464</v>
      </c>
      <c r="O198" s="8">
        <f t="shared" ref="O198:W198" ca="1" si="110">SUM(O193:O197)</f>
        <v>52811.106549859142</v>
      </c>
      <c r="P198" s="8">
        <f t="shared" ca="1" si="110"/>
        <v>61361.56110679968</v>
      </c>
      <c r="Q198" s="8">
        <f t="shared" ca="1" si="110"/>
        <v>70610.429050508872</v>
      </c>
      <c r="R198" s="8">
        <f t="shared" ca="1" si="110"/>
        <v>81298.633648175382</v>
      </c>
      <c r="S198" s="8">
        <f t="shared" ca="1" si="110"/>
        <v>93607.168707525692</v>
      </c>
      <c r="T198" s="8">
        <f t="shared" ca="1" si="110"/>
        <v>107194.21981211846</v>
      </c>
      <c r="U198" s="8">
        <f t="shared" ca="1" si="110"/>
        <v>120154.17036729245</v>
      </c>
      <c r="V198" s="8">
        <f t="shared" ca="1" si="110"/>
        <v>136019.22513717171</v>
      </c>
      <c r="W198" s="8">
        <f t="shared" ca="1" si="110"/>
        <v>152055.51969879534</v>
      </c>
    </row>
    <row r="201" spans="9:23" ht="15.75" x14ac:dyDescent="0.25">
      <c r="I201" s="36" t="s">
        <v>160</v>
      </c>
    </row>
    <row r="202" spans="9:23" x14ac:dyDescent="0.25">
      <c r="I202" s="8" t="s">
        <v>165</v>
      </c>
      <c r="J202" s="8">
        <f>W26</f>
        <v>36011.051803589762</v>
      </c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</row>
    <row r="203" spans="9:23" x14ac:dyDescent="0.25">
      <c r="I203" s="8" t="s">
        <v>161</v>
      </c>
      <c r="J203" s="8">
        <f>B10</f>
        <v>13.06470183881463</v>
      </c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</row>
    <row r="204" spans="9:23" x14ac:dyDescent="0.25">
      <c r="I204" s="8" t="s">
        <v>162</v>
      </c>
      <c r="J204" s="8">
        <f>J202*J203</f>
        <v>470473.65471600805</v>
      </c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</row>
    <row r="205" spans="9:23" x14ac:dyDescent="0.25">
      <c r="I205" s="8" t="s">
        <v>35</v>
      </c>
      <c r="J205" s="8">
        <f ca="1">W37</f>
        <v>6023.8615244102257</v>
      </c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</row>
    <row r="206" spans="9:23" x14ac:dyDescent="0.25">
      <c r="I206" s="8" t="s">
        <v>163</v>
      </c>
      <c r="J206" s="8">
        <f ca="1">-W52</f>
        <v>-76665.252635832949</v>
      </c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</row>
    <row r="207" spans="9:23" x14ac:dyDescent="0.25">
      <c r="I207" s="8" t="s">
        <v>164</v>
      </c>
      <c r="J207" s="8">
        <f ca="1">SUM(J204:J206)</f>
        <v>399832.26360458537</v>
      </c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</row>
    <row r="208" spans="9:23" x14ac:dyDescent="0.25"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</row>
    <row r="209" spans="9:23" x14ac:dyDescent="0.25"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</row>
    <row r="210" spans="9:23" x14ac:dyDescent="0.25">
      <c r="I210" s="20" t="s">
        <v>169</v>
      </c>
      <c r="J210" s="8"/>
      <c r="K210" s="20" t="s">
        <v>167</v>
      </c>
      <c r="L210" s="8"/>
      <c r="M210" s="20" t="s">
        <v>51</v>
      </c>
      <c r="N210" s="14">
        <v>2023</v>
      </c>
      <c r="O210" s="14">
        <v>2024</v>
      </c>
      <c r="P210" s="14">
        <v>2025</v>
      </c>
      <c r="Q210" s="14">
        <v>2026</v>
      </c>
      <c r="R210" s="14">
        <v>2027</v>
      </c>
      <c r="S210" s="14">
        <v>2028</v>
      </c>
      <c r="T210" s="14">
        <v>2029</v>
      </c>
      <c r="U210" s="14">
        <v>2030</v>
      </c>
      <c r="V210" s="14">
        <v>2031</v>
      </c>
      <c r="W210" s="14">
        <v>2032</v>
      </c>
    </row>
    <row r="211" spans="9:23" x14ac:dyDescent="0.25">
      <c r="I211" s="8" t="s">
        <v>166</v>
      </c>
      <c r="J211" s="8"/>
      <c r="K211" s="6">
        <f ca="1">IRR(M211:W211)</f>
        <v>0.24830159600259161</v>
      </c>
      <c r="L211" s="8"/>
      <c r="M211" s="8">
        <f>-B39</f>
        <v>-43519.012959999993</v>
      </c>
      <c r="N211" s="8">
        <v>0</v>
      </c>
      <c r="O211" s="8">
        <v>0</v>
      </c>
      <c r="P211" s="8">
        <v>0</v>
      </c>
      <c r="Q211" s="8">
        <v>0</v>
      </c>
      <c r="R211" s="8">
        <v>0</v>
      </c>
      <c r="S211" s="8">
        <v>0</v>
      </c>
      <c r="T211" s="8">
        <v>0</v>
      </c>
      <c r="U211" s="8">
        <v>0</v>
      </c>
      <c r="V211" s="8">
        <v>0</v>
      </c>
      <c r="W211" s="8">
        <f ca="1">J207</f>
        <v>399832.26360458537</v>
      </c>
    </row>
    <row r="212" spans="9:23" x14ac:dyDescent="0.25">
      <c r="I212" s="8" t="s">
        <v>70</v>
      </c>
      <c r="J212" s="8"/>
      <c r="K212" s="6">
        <f t="shared" ref="K212:K214" si="111">IRR(M212:W212)</f>
        <v>6.1124299833575924E-2</v>
      </c>
      <c r="L212" s="8"/>
      <c r="M212" s="8">
        <f>-G27-D27</f>
        <v>-39000</v>
      </c>
      <c r="N212" s="8">
        <f>-N162</f>
        <v>2000</v>
      </c>
      <c r="O212" s="8">
        <f t="shared" ref="O212:T212" si="112">-O162</f>
        <v>2200</v>
      </c>
      <c r="P212" s="8">
        <f t="shared" si="112"/>
        <v>2200</v>
      </c>
      <c r="Q212" s="8">
        <f t="shared" si="112"/>
        <v>2400</v>
      </c>
      <c r="R212" s="8">
        <f t="shared" si="112"/>
        <v>2400</v>
      </c>
      <c r="S212" s="8">
        <f t="shared" si="112"/>
        <v>2400</v>
      </c>
      <c r="T212" s="8">
        <f t="shared" si="112"/>
        <v>2400</v>
      </c>
      <c r="U212" s="8">
        <f>-U160-U162</f>
        <v>42400</v>
      </c>
      <c r="V212" s="8">
        <v>0</v>
      </c>
      <c r="W212" s="8">
        <v>0</v>
      </c>
    </row>
    <row r="213" spans="9:23" x14ac:dyDescent="0.25">
      <c r="I213" s="8" t="s">
        <v>72</v>
      </c>
      <c r="J213" s="8"/>
      <c r="K213" s="6">
        <f t="shared" si="111"/>
        <v>6.6379760947854027E-2</v>
      </c>
      <c r="L213" s="8"/>
      <c r="M213" s="8">
        <f>-G28-D28</f>
        <v>-58650</v>
      </c>
      <c r="N213" s="8">
        <f>-N165-N167</f>
        <v>9300</v>
      </c>
      <c r="O213" s="8">
        <f t="shared" ref="O213:V213" si="113">-O165-O167</f>
        <v>9240</v>
      </c>
      <c r="P213" s="8">
        <f t="shared" si="113"/>
        <v>8880</v>
      </c>
      <c r="Q213" s="8">
        <f t="shared" si="113"/>
        <v>8730</v>
      </c>
      <c r="R213" s="8">
        <f t="shared" si="113"/>
        <v>8340</v>
      </c>
      <c r="S213" s="8">
        <f t="shared" si="113"/>
        <v>7950</v>
      </c>
      <c r="T213" s="8">
        <f t="shared" si="113"/>
        <v>7560</v>
      </c>
      <c r="U213" s="8">
        <f t="shared" si="113"/>
        <v>7170</v>
      </c>
      <c r="V213" s="8">
        <f t="shared" si="113"/>
        <v>12780.000000000004</v>
      </c>
      <c r="W213" s="8">
        <v>0</v>
      </c>
    </row>
    <row r="214" spans="9:23" x14ac:dyDescent="0.25">
      <c r="I214" s="8" t="s">
        <v>73</v>
      </c>
      <c r="J214" s="8"/>
      <c r="K214" s="6">
        <f t="shared" si="111"/>
        <v>7.0505791023386832E-2</v>
      </c>
      <c r="L214" s="8"/>
      <c r="M214" s="8">
        <f>-(G29+D29)</f>
        <v>-58800</v>
      </c>
      <c r="N214" s="8">
        <f>-N170-N172</f>
        <v>6600</v>
      </c>
      <c r="O214" s="8">
        <f t="shared" ref="O214:V214" si="114">-O170-O172</f>
        <v>6705</v>
      </c>
      <c r="P214" s="8">
        <f t="shared" si="114"/>
        <v>6510</v>
      </c>
      <c r="Q214" s="8">
        <f t="shared" si="114"/>
        <v>6570</v>
      </c>
      <c r="R214" s="8">
        <f t="shared" si="114"/>
        <v>6360</v>
      </c>
      <c r="S214" s="8">
        <f t="shared" si="114"/>
        <v>6150</v>
      </c>
      <c r="T214" s="8">
        <f t="shared" si="114"/>
        <v>5940</v>
      </c>
      <c r="U214" s="8">
        <f t="shared" si="114"/>
        <v>5730</v>
      </c>
      <c r="V214" s="8">
        <f t="shared" si="114"/>
        <v>5520</v>
      </c>
      <c r="W214" s="8">
        <f>-(W170+W172)</f>
        <v>35310</v>
      </c>
    </row>
    <row r="215" spans="9:23" x14ac:dyDescent="0.25"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</row>
    <row r="216" spans="9:23" ht="15.75" x14ac:dyDescent="0.25">
      <c r="I216" s="21" t="s">
        <v>179</v>
      </c>
      <c r="L216" s="45" t="s">
        <v>181</v>
      </c>
      <c r="M216" s="45"/>
    </row>
    <row r="217" spans="9:23" x14ac:dyDescent="0.25">
      <c r="I217" s="20" t="s">
        <v>180</v>
      </c>
      <c r="J217" s="37">
        <f ca="1">K211</f>
        <v>0.24830159600259161</v>
      </c>
      <c r="K217" s="41">
        <v>0.08</v>
      </c>
      <c r="L217" s="41">
        <v>0.09</v>
      </c>
      <c r="M217" s="41">
        <v>0.1</v>
      </c>
      <c r="N217" s="41">
        <v>0.11</v>
      </c>
      <c r="O217" s="41">
        <v>0.12</v>
      </c>
    </row>
    <row r="218" spans="9:23" x14ac:dyDescent="0.25">
      <c r="I218" s="46" t="s">
        <v>182</v>
      </c>
      <c r="J218" s="40">
        <f>J219-1</f>
        <v>11.1</v>
      </c>
      <c r="K218" s="6">
        <f t="dataTable" ref="K218:O222" dt2D="1" dtr="1" r1="N3" r2="B10" ca="1"/>
        <v>0.18728739411234718</v>
      </c>
      <c r="L218" s="6">
        <v>0.20628727745065145</v>
      </c>
      <c r="M218" s="6">
        <v>0.22422144369877905</v>
      </c>
      <c r="N218" s="6">
        <v>0.24117221745662865</v>
      </c>
      <c r="O218" s="6">
        <v>0.25735305130599739</v>
      </c>
    </row>
    <row r="219" spans="9:23" x14ac:dyDescent="0.25">
      <c r="I219" s="46"/>
      <c r="J219" s="40">
        <f>J220-1</f>
        <v>12.1</v>
      </c>
      <c r="K219" s="6">
        <v>0.20116145409788033</v>
      </c>
      <c r="L219" s="6">
        <v>0.21953783863404075</v>
      </c>
      <c r="M219" s="6">
        <v>0.2370013809762459</v>
      </c>
      <c r="N219" s="6">
        <v>0.25359238404027584</v>
      </c>
      <c r="O219" s="6">
        <v>0.26949563218592987</v>
      </c>
    </row>
    <row r="220" spans="9:23" x14ac:dyDescent="0.25">
      <c r="I220" s="46"/>
      <c r="J220" s="39">
        <f>13.1</f>
        <v>13.1</v>
      </c>
      <c r="K220" s="6">
        <v>0.213712843532744</v>
      </c>
      <c r="L220" s="6">
        <v>0.23160766864033322</v>
      </c>
      <c r="M220" s="38">
        <v>0.24869318619549796</v>
      </c>
      <c r="N220" s="6">
        <v>0.26499495532868167</v>
      </c>
      <c r="O220" s="6">
        <v>0.28067509679846148</v>
      </c>
    </row>
    <row r="221" spans="9:23" x14ac:dyDescent="0.25">
      <c r="I221" s="46"/>
      <c r="J221" s="40">
        <f>J220+1</f>
        <v>14.1</v>
      </c>
      <c r="K221" s="6">
        <v>0.22519464163646763</v>
      </c>
      <c r="L221" s="6">
        <v>0.24269849020046363</v>
      </c>
      <c r="M221" s="6">
        <v>0.25947568602239102</v>
      </c>
      <c r="N221" s="6">
        <v>0.27554135651862555</v>
      </c>
      <c r="O221" s="6">
        <v>0.29103974383277365</v>
      </c>
    </row>
    <row r="222" spans="9:23" x14ac:dyDescent="0.25">
      <c r="I222" s="46"/>
      <c r="J222" s="40">
        <f>J221+1</f>
        <v>15.1</v>
      </c>
      <c r="K222" s="6">
        <v>0.23578274726723691</v>
      </c>
      <c r="L222" s="6">
        <v>0.25296418198162685</v>
      </c>
      <c r="M222" s="6">
        <v>0.26948638121773416</v>
      </c>
      <c r="N222" s="6">
        <v>0.2853569201642141</v>
      </c>
      <c r="O222" s="6">
        <v>0.30070561521917405</v>
      </c>
    </row>
  </sheetData>
  <mergeCells count="9">
    <mergeCell ref="L216:M216"/>
    <mergeCell ref="I218:I222"/>
    <mergeCell ref="A13:B13"/>
    <mergeCell ref="A1:B1"/>
    <mergeCell ref="C1:D1"/>
    <mergeCell ref="A66:B66"/>
    <mergeCell ref="A42:H42"/>
    <mergeCell ref="A33:D33"/>
    <mergeCell ref="A18:G18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Intro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NewPC20</dc:creator>
  <cp:lastModifiedBy>HP</cp:lastModifiedBy>
  <dcterms:created xsi:type="dcterms:W3CDTF">2022-03-17T10:23:50Z</dcterms:created>
  <dcterms:modified xsi:type="dcterms:W3CDTF">2024-10-04T11:30:53Z</dcterms:modified>
</cp:coreProperties>
</file>