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ojects Folder\"/>
    </mc:Choice>
  </mc:AlternateContent>
  <bookViews>
    <workbookView xWindow="0" yWindow="0" windowWidth="20490" windowHeight="7755" firstSheet="1" activeTab="5"/>
  </bookViews>
  <sheets>
    <sheet name="NVIDIA Corp Valuation" sheetId="7" r:id="rId1"/>
    <sheet name="Introduction" sheetId="6" r:id="rId2"/>
    <sheet name="Income statement" sheetId="1" r:id="rId3"/>
    <sheet name="Balance statement" sheetId="2" r:id="rId4"/>
    <sheet name="Cashflow statement" sheetId="3" r:id="rId5"/>
    <sheet name="Equity Valuation" sheetId="5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5" l="1"/>
  <c r="B52" i="5" l="1"/>
  <c r="B48" i="5"/>
  <c r="B47" i="5"/>
  <c r="B46" i="5"/>
  <c r="B45" i="5"/>
  <c r="B44" i="5"/>
  <c r="B18" i="5"/>
  <c r="B26" i="5"/>
  <c r="D34" i="5" l="1"/>
  <c r="C34" i="5"/>
  <c r="E34" i="5"/>
  <c r="E13" i="2" l="1"/>
  <c r="D20" i="3"/>
  <c r="C20" i="3"/>
  <c r="B20" i="3"/>
  <c r="D18" i="3"/>
  <c r="C18" i="3"/>
  <c r="B18" i="3"/>
  <c r="D15" i="3"/>
  <c r="C15" i="3"/>
  <c r="B15" i="3"/>
  <c r="D13" i="3"/>
  <c r="C13" i="3"/>
  <c r="B13" i="3"/>
  <c r="D10" i="3"/>
  <c r="C10" i="3"/>
  <c r="B10" i="3"/>
  <c r="D8" i="3"/>
  <c r="C8" i="3"/>
  <c r="B8" i="3"/>
  <c r="D6" i="3"/>
  <c r="C6" i="3"/>
  <c r="B6" i="3"/>
  <c r="D4" i="3"/>
  <c r="C4" i="3"/>
  <c r="B4" i="3"/>
  <c r="D42" i="2"/>
  <c r="C42" i="2"/>
  <c r="B42" i="2"/>
  <c r="D38" i="2"/>
  <c r="C38" i="2"/>
  <c r="B38" i="2"/>
  <c r="E38" i="2" s="1"/>
  <c r="D36" i="2"/>
  <c r="C36" i="2"/>
  <c r="B36" i="2"/>
  <c r="D32" i="2"/>
  <c r="C32" i="2"/>
  <c r="B32" i="2"/>
  <c r="D30" i="2"/>
  <c r="C30" i="2"/>
  <c r="B30" i="2"/>
  <c r="D28" i="2"/>
  <c r="C28" i="2"/>
  <c r="B28" i="2"/>
  <c r="D26" i="2"/>
  <c r="C26" i="2"/>
  <c r="B26" i="2"/>
  <c r="E26" i="2" s="1"/>
  <c r="F26" i="2" s="1"/>
  <c r="G26" i="2" s="1"/>
  <c r="D24" i="2"/>
  <c r="C24" i="2"/>
  <c r="B24" i="2"/>
  <c r="D21" i="2"/>
  <c r="C21" i="2"/>
  <c r="B21" i="2"/>
  <c r="D19" i="2"/>
  <c r="C19" i="2"/>
  <c r="B19" i="2"/>
  <c r="D16" i="2"/>
  <c r="C16" i="2"/>
  <c r="B16" i="2"/>
  <c r="E14" i="2"/>
  <c r="F14" i="2" s="1"/>
  <c r="G14" i="2" s="1"/>
  <c r="F13" i="2"/>
  <c r="G13" i="2" s="1"/>
  <c r="D12" i="2"/>
  <c r="C12" i="2"/>
  <c r="B12" i="2"/>
  <c r="D10" i="2"/>
  <c r="C10" i="2"/>
  <c r="B10" i="2"/>
  <c r="D8" i="2"/>
  <c r="C8" i="2"/>
  <c r="B8" i="2"/>
  <c r="D6" i="2"/>
  <c r="C6" i="2"/>
  <c r="B6" i="2"/>
  <c r="D4" i="2"/>
  <c r="C4" i="2"/>
  <c r="B4" i="2"/>
  <c r="E36" i="2" l="1"/>
  <c r="F36" i="2" s="1"/>
  <c r="G36" i="2" s="1"/>
  <c r="E30" i="2"/>
  <c r="F30" i="2" s="1"/>
  <c r="G30" i="2" s="1"/>
  <c r="F38" i="2"/>
  <c r="E20" i="3"/>
  <c r="F20" i="3" s="1"/>
  <c r="E18" i="3"/>
  <c r="F18" i="3" s="1"/>
  <c r="E10" i="3"/>
  <c r="E15" i="3"/>
  <c r="E13" i="3"/>
  <c r="F13" i="3" s="1"/>
  <c r="E8" i="3"/>
  <c r="E6" i="3"/>
  <c r="E4" i="3"/>
  <c r="F4" i="3" s="1"/>
  <c r="E28" i="2"/>
  <c r="E24" i="2"/>
  <c r="F24" i="2" s="1"/>
  <c r="E21" i="2"/>
  <c r="F21" i="2" s="1"/>
  <c r="E12" i="2"/>
  <c r="F12" i="2" s="1"/>
  <c r="E19" i="2"/>
  <c r="F19" i="2" s="1"/>
  <c r="E16" i="2"/>
  <c r="E10" i="2"/>
  <c r="F10" i="2" s="1"/>
  <c r="E8" i="2"/>
  <c r="E6" i="2"/>
  <c r="E4" i="2"/>
  <c r="F4" i="2" s="1"/>
  <c r="D13" i="1"/>
  <c r="C13" i="1"/>
  <c r="F13" i="1" s="1"/>
  <c r="G13" i="1" s="1"/>
  <c r="B13" i="1"/>
  <c r="E13" i="1" s="1"/>
  <c r="D8" i="1"/>
  <c r="C8" i="1"/>
  <c r="B8" i="1"/>
  <c r="E8" i="1" s="1"/>
  <c r="D5" i="1"/>
  <c r="C5" i="1"/>
  <c r="B5" i="1"/>
  <c r="E5" i="1" s="1"/>
  <c r="F8" i="1" l="1"/>
  <c r="G8" i="1" s="1"/>
  <c r="F5" i="1"/>
  <c r="G5" i="1" s="1"/>
  <c r="G38" i="2"/>
  <c r="F10" i="3"/>
  <c r="G10" i="3" s="1"/>
  <c r="G20" i="3"/>
  <c r="G18" i="3"/>
  <c r="F8" i="3"/>
  <c r="G8" i="3" s="1"/>
  <c r="G13" i="3"/>
  <c r="F6" i="3"/>
  <c r="G4" i="3"/>
  <c r="F28" i="2"/>
  <c r="G28" i="2" s="1"/>
  <c r="G24" i="2"/>
  <c r="F16" i="2"/>
  <c r="G16" i="2" s="1"/>
  <c r="G21" i="2"/>
  <c r="G19" i="2"/>
  <c r="F6" i="2"/>
  <c r="G6" i="2" s="1"/>
  <c r="F8" i="2"/>
  <c r="G12" i="2"/>
  <c r="G10" i="2"/>
  <c r="G4" i="2"/>
  <c r="D16" i="1"/>
  <c r="C16" i="1"/>
  <c r="D3" i="1"/>
  <c r="C3" i="1"/>
  <c r="E3" i="1" l="1"/>
  <c r="E2" i="1" s="1"/>
  <c r="G6" i="3"/>
  <c r="G8" i="2"/>
  <c r="F3" i="1" l="1"/>
  <c r="E4" i="1"/>
  <c r="C7" i="5"/>
  <c r="E17" i="3"/>
  <c r="E15" i="2"/>
  <c r="E3" i="3"/>
  <c r="C9" i="5" s="1"/>
  <c r="C13" i="5" s="1"/>
  <c r="E9" i="3"/>
  <c r="C18" i="5" s="1"/>
  <c r="E3" i="2"/>
  <c r="E23" i="2"/>
  <c r="E7" i="3"/>
  <c r="E12" i="3"/>
  <c r="E14" i="3"/>
  <c r="E5" i="2"/>
  <c r="E11" i="2"/>
  <c r="E16" i="3" l="1"/>
  <c r="C17" i="5" s="1"/>
  <c r="E9" i="2"/>
  <c r="E20" i="2"/>
  <c r="E7" i="2"/>
  <c r="E18" i="2"/>
  <c r="E6" i="1"/>
  <c r="E7" i="1" s="1"/>
  <c r="E9" i="1" s="1"/>
  <c r="E11" i="1" s="1"/>
  <c r="E5" i="3" s="1"/>
  <c r="G3" i="1"/>
  <c r="F2" i="1"/>
  <c r="C19" i="5"/>
  <c r="C20" i="5" s="1"/>
  <c r="E14" i="1"/>
  <c r="E15" i="1" s="1"/>
  <c r="E12" i="1"/>
  <c r="C11" i="5" s="1"/>
  <c r="E2" i="3" l="1"/>
  <c r="E11" i="3" s="1"/>
  <c r="E19" i="3"/>
  <c r="E23" i="3" s="1"/>
  <c r="E27" i="2"/>
  <c r="E16" i="1"/>
  <c r="F4" i="1"/>
  <c r="D7" i="5"/>
  <c r="F14" i="3"/>
  <c r="F17" i="3"/>
  <c r="F12" i="3"/>
  <c r="F23" i="2"/>
  <c r="F11" i="2"/>
  <c r="F3" i="2"/>
  <c r="F9" i="3"/>
  <c r="D18" i="5" s="1"/>
  <c r="D19" i="5" s="1"/>
  <c r="F3" i="3"/>
  <c r="D9" i="5" s="1"/>
  <c r="D13" i="5" s="1"/>
  <c r="F5" i="2"/>
  <c r="F15" i="2"/>
  <c r="F7" i="3"/>
  <c r="G2" i="1"/>
  <c r="C8" i="5"/>
  <c r="C10" i="5" s="1"/>
  <c r="C12" i="5" s="1"/>
  <c r="C14" i="5" s="1"/>
  <c r="C23" i="5" s="1"/>
  <c r="C35" i="5" s="1"/>
  <c r="F16" i="3" l="1"/>
  <c r="D17" i="5" s="1"/>
  <c r="D20" i="5" s="1"/>
  <c r="E24" i="3"/>
  <c r="E2" i="2" s="1"/>
  <c r="E17" i="2" s="1"/>
  <c r="F20" i="2"/>
  <c r="F18" i="2"/>
  <c r="F9" i="2"/>
  <c r="F7" i="2"/>
  <c r="E7" i="5"/>
  <c r="G14" i="3"/>
  <c r="G7" i="3"/>
  <c r="G11" i="2"/>
  <c r="G12" i="3"/>
  <c r="G15" i="2"/>
  <c r="G17" i="3"/>
  <c r="G3" i="3"/>
  <c r="E9" i="5" s="1"/>
  <c r="E13" i="5" s="1"/>
  <c r="G5" i="2"/>
  <c r="G23" i="2"/>
  <c r="G9" i="3"/>
  <c r="E18" i="5" s="1"/>
  <c r="E19" i="5" s="1"/>
  <c r="G3" i="2"/>
  <c r="G4" i="1"/>
  <c r="F6" i="1"/>
  <c r="F7" i="1" s="1"/>
  <c r="F9" i="1" s="1"/>
  <c r="F11" i="1" s="1"/>
  <c r="G16" i="3" l="1"/>
  <c r="E17" i="5" s="1"/>
  <c r="G6" i="1"/>
  <c r="G7" i="1" s="1"/>
  <c r="G9" i="1" s="1"/>
  <c r="G11" i="1" s="1"/>
  <c r="E8" i="5"/>
  <c r="E10" i="5" s="1"/>
  <c r="G9" i="2"/>
  <c r="G20" i="2"/>
  <c r="G18" i="2"/>
  <c r="G7" i="2"/>
  <c r="F5" i="3"/>
  <c r="F12" i="1"/>
  <c r="E37" i="2"/>
  <c r="E35" i="2"/>
  <c r="E25" i="2"/>
  <c r="E29" i="2"/>
  <c r="E20" i="5"/>
  <c r="D8" i="5"/>
  <c r="D10" i="5" s="1"/>
  <c r="E31" i="2" l="1"/>
  <c r="F14" i="1"/>
  <c r="F15" i="1" s="1"/>
  <c r="D11" i="5"/>
  <c r="D12" i="5" s="1"/>
  <c r="D14" i="5" s="1"/>
  <c r="D23" i="5" s="1"/>
  <c r="D35" i="5" s="1"/>
  <c r="G5" i="3"/>
  <c r="G12" i="1"/>
  <c r="E41" i="2"/>
  <c r="E42" i="2" s="1"/>
  <c r="E43" i="2" l="1"/>
  <c r="E32" i="2"/>
  <c r="F2" i="3"/>
  <c r="F11" i="3" s="1"/>
  <c r="F24" i="3" s="1"/>
  <c r="F2" i="2" s="1"/>
  <c r="F16" i="1"/>
  <c r="F19" i="3"/>
  <c r="F23" i="3" s="1"/>
  <c r="F27" i="2"/>
  <c r="G14" i="1"/>
  <c r="G15" i="1" s="1"/>
  <c r="E11" i="5"/>
  <c r="E12" i="5" s="1"/>
  <c r="E14" i="5" s="1"/>
  <c r="E23" i="5" s="1"/>
  <c r="F17" i="2" l="1"/>
  <c r="G2" i="3"/>
  <c r="G11" i="3" s="1"/>
  <c r="G16" i="1"/>
  <c r="G19" i="3"/>
  <c r="G23" i="3" s="1"/>
  <c r="G27" i="2"/>
  <c r="E39" i="5"/>
  <c r="E40" i="5" s="1"/>
  <c r="E35" i="5"/>
  <c r="G24" i="3" l="1"/>
  <c r="G2" i="2" s="1"/>
  <c r="G17" i="2" s="1"/>
  <c r="B43" i="5"/>
  <c r="B49" i="5" s="1"/>
  <c r="B51" i="5" s="1"/>
  <c r="B53" i="5" s="1"/>
  <c r="B59" i="5" s="1"/>
  <c r="G37" i="2"/>
  <c r="G25" i="2"/>
  <c r="G35" i="2"/>
  <c r="G29" i="2"/>
  <c r="F37" i="2"/>
  <c r="F35" i="2"/>
  <c r="F41" i="2" s="1"/>
  <c r="F42" i="2" s="1"/>
  <c r="F25" i="2"/>
  <c r="F29" i="2"/>
  <c r="G41" i="2" l="1"/>
  <c r="G42" i="2" s="1"/>
  <c r="B55" i="5"/>
  <c r="G31" i="2"/>
  <c r="F31" i="2"/>
  <c r="F43" i="2" l="1"/>
  <c r="F32" i="2"/>
  <c r="G32" i="2"/>
  <c r="G43" i="2"/>
</calcChain>
</file>

<file path=xl/sharedStrings.xml><?xml version="1.0" encoding="utf-8"?>
<sst xmlns="http://schemas.openxmlformats.org/spreadsheetml/2006/main" count="169" uniqueCount="143">
  <si>
    <t>Revenue</t>
  </si>
  <si>
    <t>Cost of Revenue, Total</t>
  </si>
  <si>
    <t>Gross Profit</t>
  </si>
  <si>
    <t>Operating Income</t>
  </si>
  <si>
    <t>Interest Inc.(Exp.),Net-Non-Op., Total</t>
  </si>
  <si>
    <t>Net Income Before Taxes</t>
  </si>
  <si>
    <t>Provision for Income Taxes</t>
  </si>
  <si>
    <t>Net Income After Taxes</t>
  </si>
  <si>
    <t>Net Income</t>
  </si>
  <si>
    <t>Cash &amp; Equivalents</t>
  </si>
  <si>
    <t>Total Receivables, Net</t>
  </si>
  <si>
    <t>Short Term Investments</t>
  </si>
  <si>
    <t>Total Inventory</t>
  </si>
  <si>
    <t>Prepaid Expenses</t>
  </si>
  <si>
    <t>Property/Plant/Equipment, Total - Net</t>
  </si>
  <si>
    <t>Goodwill, Net</t>
  </si>
  <si>
    <t>Intangibles, Net</t>
  </si>
  <si>
    <t>Total Assets</t>
  </si>
  <si>
    <t>Accounts Payable</t>
  </si>
  <si>
    <t>Accrued Expenses</t>
  </si>
  <si>
    <t>Notes Payable/Short Term Debt</t>
  </si>
  <si>
    <t>Other Current liabilities, Total</t>
  </si>
  <si>
    <t>Total Debt</t>
  </si>
  <si>
    <t>Deferred Income Tax</t>
  </si>
  <si>
    <t>Other Liabilities, Total</t>
  </si>
  <si>
    <t>Total Liabilities</t>
  </si>
  <si>
    <t>Preferred Stock - Non Redeemable, Net</t>
  </si>
  <si>
    <t>--</t>
  </si>
  <si>
    <t>Common Stock, Total</t>
  </si>
  <si>
    <t>Additional Paid-In Capital</t>
  </si>
  <si>
    <t>Retained Earnings (Accumulated Deficit)</t>
  </si>
  <si>
    <t>Treasury Stock - Common</t>
  </si>
  <si>
    <t>Other Equity, Total</t>
  </si>
  <si>
    <t>Total Equity</t>
  </si>
  <si>
    <t>Total Liabilities &amp; Shareholders' Equity</t>
  </si>
  <si>
    <t>Total Common Shares Outstanding</t>
  </si>
  <si>
    <t>Net Income/Starting Line</t>
  </si>
  <si>
    <t>Depreciation/Depletion</t>
  </si>
  <si>
    <t>Deferred Taxes</t>
  </si>
  <si>
    <t>Non-Cash Items</t>
  </si>
  <si>
    <t>Changes in Working Capital</t>
  </si>
  <si>
    <t>Cash from Operating Activities</t>
  </si>
  <si>
    <t>Capital Expenditures</t>
  </si>
  <si>
    <t>Other Investing Cash Flow Items, Total</t>
  </si>
  <si>
    <t>Cash from Investing Activities</t>
  </si>
  <si>
    <t>Financing Cash Flow Items</t>
  </si>
  <si>
    <t>Total Cash Dividends Paid</t>
  </si>
  <si>
    <t>Issuance (Retirement) of Stock, Net</t>
  </si>
  <si>
    <t>Issuance (Retirement) of Debt, Net</t>
  </si>
  <si>
    <t>Cash from Financing Activities</t>
  </si>
  <si>
    <t>Net Change in Cash</t>
  </si>
  <si>
    <t>Other Operating Expenses</t>
  </si>
  <si>
    <t>Long Term Investments,Total</t>
  </si>
  <si>
    <t>Financial Year</t>
  </si>
  <si>
    <t>DISCOUNTED CASH FLOW TECHNIQUE OF VALUATION</t>
  </si>
  <si>
    <t>Free cash flow to firm calculation (FCFF)</t>
  </si>
  <si>
    <t>Operating cash profit calculation</t>
  </si>
  <si>
    <t>Revenues</t>
  </si>
  <si>
    <t>Earnings before interest and tax (EBIT)</t>
  </si>
  <si>
    <t>Less: Operating taxes</t>
  </si>
  <si>
    <t>Post tax operating profit (NOPLAT)</t>
  </si>
  <si>
    <t>Post tax operating cash profit</t>
  </si>
  <si>
    <t>Operating cash investments</t>
  </si>
  <si>
    <t>Capital expenditures investments</t>
  </si>
  <si>
    <t>Working Capital</t>
  </si>
  <si>
    <t>Increase in working capital</t>
  </si>
  <si>
    <t>Free cash flow to firm</t>
  </si>
  <si>
    <t>FCFF</t>
  </si>
  <si>
    <t>Cost of Capital calculation</t>
  </si>
  <si>
    <t>Percent</t>
  </si>
  <si>
    <t>Tax rate</t>
  </si>
  <si>
    <t xml:space="preserve">Cost of debt </t>
  </si>
  <si>
    <t>Bloomberg</t>
  </si>
  <si>
    <t>Cost of equity</t>
  </si>
  <si>
    <t>Target capital structure (debt to capital)</t>
  </si>
  <si>
    <t>WACC (Weighted average cost of capital)</t>
  </si>
  <si>
    <t>Present value of future cash flows</t>
  </si>
  <si>
    <t>Years from current</t>
  </si>
  <si>
    <t>Discount factor</t>
  </si>
  <si>
    <t>Present value of FCFF</t>
  </si>
  <si>
    <t>Terminal value calculation</t>
  </si>
  <si>
    <t>Terminal growth rate</t>
  </si>
  <si>
    <t>Terminal value</t>
  </si>
  <si>
    <t>Present value of terminal value</t>
  </si>
  <si>
    <t>Share price calculation</t>
  </si>
  <si>
    <t>Less: Short term debt</t>
  </si>
  <si>
    <t>Less: Long term debt</t>
  </si>
  <si>
    <t>Less: Other long term liabilities</t>
  </si>
  <si>
    <t>Add: Cash and cash equivalents</t>
  </si>
  <si>
    <t>Add: Other long term assets</t>
  </si>
  <si>
    <t>Consolidated equity value</t>
  </si>
  <si>
    <t>Less: Market Value of minority interest</t>
  </si>
  <si>
    <t>Margin of safety</t>
  </si>
  <si>
    <t>Less: Operating expenses (COGS + SGA)</t>
  </si>
  <si>
    <t>Less: Depreciation</t>
  </si>
  <si>
    <t>Add: Depreciation</t>
  </si>
  <si>
    <t>From year 2022</t>
  </si>
  <si>
    <t>Total common shares outstanding (Mn)</t>
  </si>
  <si>
    <t>NVIDIA Corp shares is Overvalued</t>
  </si>
  <si>
    <t>NVIDIA Corp</t>
  </si>
  <si>
    <t>NVIDIA Corp equity value</t>
  </si>
  <si>
    <t>NVIDIA Corp equity value per share (USD)</t>
  </si>
  <si>
    <t xml:space="preserve">All values in Million </t>
  </si>
  <si>
    <t>NVIDIA Corp share price at Oct, 2024 (USD)</t>
  </si>
  <si>
    <t>Enterprise value (EV) for NVIDIA Corp</t>
  </si>
  <si>
    <t>Revenue growth rate in %</t>
  </si>
  <si>
    <t>As % f Revenue.</t>
  </si>
  <si>
    <t>As % of Gross Profit</t>
  </si>
  <si>
    <t>As % of Net Income before Taxes</t>
  </si>
  <si>
    <t>Net Income growth rate</t>
  </si>
  <si>
    <t>As % of Revenue</t>
  </si>
  <si>
    <t>As % of Cost of Revenue</t>
  </si>
  <si>
    <t>As % of Cost of  Revenue</t>
  </si>
  <si>
    <t>As % of Total Assets</t>
  </si>
  <si>
    <t>As % of Net Income</t>
  </si>
  <si>
    <t>As % of Ne Income</t>
  </si>
  <si>
    <t>Sensitivity Analysis of Terminal Growth Rate VS WACC</t>
  </si>
  <si>
    <t>Company</t>
  </si>
  <si>
    <t>Year</t>
  </si>
  <si>
    <t>Common Shares outstanding</t>
  </si>
  <si>
    <t>First forecast year</t>
  </si>
  <si>
    <t>Currency</t>
  </si>
  <si>
    <t>Dollar</t>
  </si>
  <si>
    <t>Reporting units</t>
  </si>
  <si>
    <t>000000s</t>
  </si>
  <si>
    <t>Domestic country</t>
  </si>
  <si>
    <t>USA</t>
  </si>
  <si>
    <t>Historical Financial data Years</t>
  </si>
  <si>
    <t>Forcasted number of Years</t>
  </si>
  <si>
    <t>Method of Forcast</t>
  </si>
  <si>
    <t>Result of Valuation</t>
  </si>
  <si>
    <t>Tesla Inc. share price</t>
  </si>
  <si>
    <t>2022-2024</t>
  </si>
  <si>
    <t>2025-2027</t>
  </si>
  <si>
    <t>Three years Moving Average</t>
  </si>
  <si>
    <t>Terminal Growth Rate</t>
  </si>
  <si>
    <t>USA GDP growth rate of 3%</t>
  </si>
  <si>
    <t>NVIDIA Corp Share price is Overvalued</t>
  </si>
  <si>
    <t>Sector</t>
  </si>
  <si>
    <t>Technology</t>
  </si>
  <si>
    <t xml:space="preserve">BY </t>
  </si>
  <si>
    <t>EZEJI EMMANUEL IFEANYI</t>
  </si>
  <si>
    <t>DCF VALUATION OF NVIDIA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</si>
</sst>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#,##0;\(#,##0\);\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0404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  <font>
      <b/>
      <sz val="12"/>
      <color rgb="FF40404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9"/>
      <color rgb="FF0000FF"/>
      <name val="Arial"/>
      <family val="2"/>
    </font>
    <font>
      <sz val="13"/>
      <color theme="1"/>
      <name val="Calibri"/>
      <family val="2"/>
      <scheme val="minor"/>
    </font>
    <font>
      <b/>
      <sz val="28"/>
      <color theme="8" tint="-0.499984740745262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22"/>
      <color theme="8" tint="-0.49998474074526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3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20" fillId="4" borderId="0"/>
    <xf numFmtId="9" fontId="20" fillId="4" borderId="0"/>
  </cellStyleXfs>
  <cellXfs count="103">
    <xf numFmtId="0" fontId="0" fillId="0" borderId="0" xfId="0"/>
    <xf numFmtId="0" fontId="0" fillId="0" borderId="0" xfId="0" applyFont="1"/>
    <xf numFmtId="0" fontId="2" fillId="0" borderId="0" xfId="0" applyFont="1"/>
    <xf numFmtId="165" fontId="4" fillId="0" borderId="0" xfId="1" applyNumberFormat="1" applyFont="1" applyAlignment="1">
      <alignment horizontal="left" vertical="center" wrapText="1" indent="1"/>
    </xf>
    <xf numFmtId="165" fontId="7" fillId="0" borderId="0" xfId="1" applyNumberFormat="1" applyFont="1" applyAlignment="1">
      <alignment horizontal="left" vertical="center" wrapText="1" indent="1"/>
    </xf>
    <xf numFmtId="3" fontId="4" fillId="0" borderId="0" xfId="0" applyNumberFormat="1" applyFont="1" applyAlignment="1">
      <alignment horizontal="right" vertical="center" wrapText="1" indent="1"/>
    </xf>
    <xf numFmtId="165" fontId="4" fillId="0" borderId="0" xfId="0" applyNumberFormat="1" applyFont="1" applyAlignment="1">
      <alignment horizontal="right"/>
    </xf>
    <xf numFmtId="165" fontId="4" fillId="0" borderId="0" xfId="1" applyNumberFormat="1" applyFont="1" applyAlignment="1">
      <alignment horizontal="right" vertical="center" wrapText="1" indent="1"/>
    </xf>
    <xf numFmtId="165" fontId="4" fillId="0" borderId="0" xfId="1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7" fillId="0" borderId="0" xfId="0" applyFont="1" applyAlignment="1">
      <alignment vertical="center" wrapText="1"/>
    </xf>
    <xf numFmtId="165" fontId="3" fillId="0" borderId="0" xfId="1" applyNumberFormat="1" applyFont="1" applyAlignment="1">
      <alignment horizontal="left" vertical="center" wrapText="1" indent="1"/>
    </xf>
    <xf numFmtId="165" fontId="6" fillId="0" borderId="0" xfId="1" applyNumberFormat="1" applyFont="1" applyAlignment="1">
      <alignment horizontal="left" vertical="center" wrapText="1" indent="1"/>
    </xf>
    <xf numFmtId="0" fontId="9" fillId="2" borderId="0" xfId="0" applyFont="1" applyFill="1"/>
    <xf numFmtId="165" fontId="0" fillId="0" borderId="0" xfId="1" applyNumberFormat="1" applyFont="1"/>
    <xf numFmtId="165" fontId="0" fillId="0" borderId="0" xfId="0" applyNumberFormat="1"/>
    <xf numFmtId="0" fontId="4" fillId="0" borderId="0" xfId="0" applyFont="1" applyAlignment="1">
      <alignment vertical="center" wrapText="1"/>
    </xf>
    <xf numFmtId="165" fontId="2" fillId="0" borderId="0" xfId="0" applyNumberFormat="1" applyFont="1"/>
    <xf numFmtId="9" fontId="10" fillId="0" borderId="0" xfId="2" applyFont="1" applyAlignment="1">
      <alignment horizontal="right" vertical="center" wrapText="1" indent="1"/>
    </xf>
    <xf numFmtId="9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9" fontId="11" fillId="0" borderId="0" xfId="2" applyFont="1" applyAlignment="1">
      <alignment horizontal="right"/>
    </xf>
    <xf numFmtId="9" fontId="12" fillId="0" borderId="0" xfId="2" applyFont="1" applyAlignment="1">
      <alignment horizontal="right" vertical="center" wrapText="1" indent="1"/>
    </xf>
    <xf numFmtId="0" fontId="13" fillId="0" borderId="0" xfId="0" applyFont="1" applyAlignment="1">
      <alignment horizontal="right"/>
    </xf>
    <xf numFmtId="15" fontId="14" fillId="2" borderId="0" xfId="0" applyNumberFormat="1" applyFont="1" applyFill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4" fillId="0" borderId="1" xfId="0" applyFont="1" applyBorder="1"/>
    <xf numFmtId="1" fontId="4" fillId="0" borderId="0" xfId="0" applyNumberFormat="1" applyFont="1" applyFill="1" applyAlignment="1">
      <alignment horizontal="center"/>
    </xf>
    <xf numFmtId="0" fontId="4" fillId="0" borderId="2" xfId="0" applyFont="1" applyBorder="1"/>
    <xf numFmtId="1" fontId="4" fillId="0" borderId="3" xfId="0" applyNumberFormat="1" applyFont="1" applyFill="1" applyBorder="1" applyAlignment="1">
      <alignment horizontal="center"/>
    </xf>
    <xf numFmtId="0" fontId="7" fillId="0" borderId="1" xfId="0" applyFont="1" applyBorder="1"/>
    <xf numFmtId="1" fontId="7" fillId="0" borderId="0" xfId="0" applyNumberFormat="1" applyFont="1" applyFill="1" applyAlignment="1">
      <alignment horizontal="center"/>
    </xf>
    <xf numFmtId="165" fontId="7" fillId="3" borderId="0" xfId="1" applyNumberFormat="1" applyFont="1" applyFill="1" applyAlignment="1">
      <alignment horizontal="center"/>
    </xf>
    <xf numFmtId="165" fontId="4" fillId="3" borderId="3" xfId="1" applyNumberFormat="1" applyFont="1" applyFill="1" applyBorder="1" applyAlignment="1">
      <alignment horizontal="center"/>
    </xf>
    <xf numFmtId="0" fontId="7" fillId="0" borderId="4" xfId="0" applyFont="1" applyBorder="1"/>
    <xf numFmtId="1" fontId="7" fillId="0" borderId="5" xfId="0" applyNumberFormat="1" applyFont="1" applyFill="1" applyBorder="1" applyAlignment="1">
      <alignment horizontal="center"/>
    </xf>
    <xf numFmtId="165" fontId="7" fillId="3" borderId="5" xfId="1" applyNumberFormat="1" applyFont="1" applyFill="1" applyBorder="1" applyAlignment="1">
      <alignment horizontal="center"/>
    </xf>
    <xf numFmtId="0" fontId="4" fillId="0" borderId="0" xfId="0" applyFont="1"/>
    <xf numFmtId="165" fontId="4" fillId="0" borderId="0" xfId="1" applyNumberFormat="1" applyFont="1"/>
    <xf numFmtId="165" fontId="4" fillId="3" borderId="0" xfId="1" applyNumberFormat="1" applyFont="1" applyFill="1" applyAlignment="1">
      <alignment horizontal="center"/>
    </xf>
    <xf numFmtId="0" fontId="4" fillId="0" borderId="1" xfId="0" quotePrefix="1" applyFont="1" applyFill="1" applyBorder="1"/>
    <xf numFmtId="165" fontId="4" fillId="0" borderId="3" xfId="1" applyNumberFormat="1" applyFont="1" applyFill="1" applyBorder="1"/>
    <xf numFmtId="0" fontId="17" fillId="0" borderId="5" xfId="0" applyFont="1" applyFill="1" applyBorder="1"/>
    <xf numFmtId="0" fontId="7" fillId="0" borderId="5" xfId="0" applyFont="1" applyFill="1" applyBorder="1"/>
    <xf numFmtId="9" fontId="4" fillId="0" borderId="0" xfId="0" applyNumberFormat="1" applyFont="1" applyFill="1" applyAlignment="1">
      <alignment horizontal="center"/>
    </xf>
    <xf numFmtId="9" fontId="4" fillId="0" borderId="0" xfId="0" applyNumberFormat="1" applyFont="1"/>
    <xf numFmtId="164" fontId="7" fillId="3" borderId="5" xfId="0" applyNumberFormat="1" applyFont="1" applyFill="1" applyBorder="1" applyAlignment="1">
      <alignment horizontal="center"/>
    </xf>
    <xf numFmtId="0" fontId="4" fillId="0" borderId="0" xfId="0" applyFont="1" applyFill="1"/>
    <xf numFmtId="1" fontId="4" fillId="3" borderId="0" xfId="0" applyNumberFormat="1" applyFont="1" applyFill="1" applyAlignment="1">
      <alignment horizontal="center"/>
    </xf>
    <xf numFmtId="0" fontId="4" fillId="0" borderId="3" xfId="0" applyFont="1" applyFill="1" applyBorder="1"/>
    <xf numFmtId="2" fontId="4" fillId="3" borderId="3" xfId="0" applyNumberFormat="1" applyFont="1" applyFill="1" applyBorder="1" applyAlignment="1">
      <alignment horizontal="center"/>
    </xf>
    <xf numFmtId="0" fontId="4" fillId="0" borderId="5" xfId="0" applyFont="1" applyFill="1" applyBorder="1"/>
    <xf numFmtId="0" fontId="7" fillId="0" borderId="0" xfId="0" applyFont="1"/>
    <xf numFmtId="165" fontId="7" fillId="0" borderId="0" xfId="1" applyNumberFormat="1" applyFont="1"/>
    <xf numFmtId="165" fontId="18" fillId="3" borderId="0" xfId="1" applyNumberFormat="1" applyFont="1" applyFill="1" applyAlignment="1"/>
    <xf numFmtId="165" fontId="18" fillId="3" borderId="3" xfId="1" applyNumberFormat="1" applyFont="1" applyFill="1" applyBorder="1" applyAlignment="1"/>
    <xf numFmtId="0" fontId="7" fillId="0" borderId="1" xfId="0" applyFont="1" applyFill="1" applyBorder="1"/>
    <xf numFmtId="165" fontId="7" fillId="3" borderId="0" xfId="1" applyNumberFormat="1" applyFont="1" applyFill="1" applyAlignment="1"/>
    <xf numFmtId="0" fontId="4" fillId="0" borderId="2" xfId="0" applyFont="1" applyFill="1" applyBorder="1"/>
    <xf numFmtId="165" fontId="4" fillId="3" borderId="3" xfId="0" applyNumberFormat="1" applyFont="1" applyFill="1" applyBorder="1" applyAlignment="1"/>
    <xf numFmtId="165" fontId="4" fillId="3" borderId="3" xfId="1" applyNumberFormat="1" applyFont="1" applyFill="1" applyBorder="1" applyAlignment="1"/>
    <xf numFmtId="0" fontId="4" fillId="3" borderId="3" xfId="0" applyFont="1" applyFill="1" applyBorder="1" applyAlignment="1"/>
    <xf numFmtId="10" fontId="7" fillId="3" borderId="0" xfId="1" applyNumberFormat="1" applyFont="1" applyFill="1" applyAlignment="1"/>
    <xf numFmtId="0" fontId="19" fillId="0" borderId="1" xfId="0" applyFont="1" applyFill="1" applyBorder="1"/>
    <xf numFmtId="0" fontId="15" fillId="2" borderId="0" xfId="0" applyFont="1" applyFill="1"/>
    <xf numFmtId="0" fontId="15" fillId="2" borderId="0" xfId="0" applyFont="1" applyFill="1" applyAlignment="1">
      <alignment horizontal="left"/>
    </xf>
    <xf numFmtId="0" fontId="16" fillId="2" borderId="0" xfId="0" applyFont="1" applyFill="1" applyAlignment="1">
      <alignment horizontal="center" vertical="center" wrapText="1"/>
    </xf>
    <xf numFmtId="0" fontId="16" fillId="2" borderId="0" xfId="0" applyNumberFormat="1" applyFont="1" applyFill="1" applyAlignment="1">
      <alignment horizontal="center" vertical="center" wrapText="1"/>
    </xf>
    <xf numFmtId="9" fontId="4" fillId="0" borderId="0" xfId="2" applyNumberFormat="1" applyFont="1"/>
    <xf numFmtId="15" fontId="15" fillId="2" borderId="0" xfId="0" applyNumberFormat="1" applyFont="1" applyFill="1" applyAlignment="1">
      <alignment horizontal="left" vertical="center"/>
    </xf>
    <xf numFmtId="9" fontId="10" fillId="0" borderId="0" xfId="2" applyFont="1" applyAlignment="1">
      <alignment horizontal="right"/>
    </xf>
    <xf numFmtId="0" fontId="11" fillId="0" borderId="0" xfId="0" applyFont="1"/>
    <xf numFmtId="3" fontId="10" fillId="0" borderId="0" xfId="0" applyNumberFormat="1" applyFont="1" applyAlignment="1">
      <alignment horizontal="right" vertical="center" wrapText="1" indent="1"/>
    </xf>
    <xf numFmtId="164" fontId="10" fillId="0" borderId="0" xfId="2" applyNumberFormat="1" applyFont="1" applyAlignment="1">
      <alignment horizontal="right" vertical="center" wrapText="1" indent="1"/>
    </xf>
    <xf numFmtId="164" fontId="10" fillId="0" borderId="0" xfId="2" applyNumberFormat="1" applyFont="1" applyAlignment="1">
      <alignment horizontal="right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5" fontId="14" fillId="2" borderId="0" xfId="0" applyNumberFormat="1" applyFont="1" applyFill="1" applyAlignment="1">
      <alignment horizontal="right" vertical="center"/>
    </xf>
    <xf numFmtId="0" fontId="21" fillId="0" borderId="0" xfId="0" applyFont="1"/>
    <xf numFmtId="0" fontId="21" fillId="0" borderId="0" xfId="0" applyFont="1" applyAlignment="1">
      <alignment horizontal="right"/>
    </xf>
    <xf numFmtId="1" fontId="0" fillId="0" borderId="0" xfId="0" applyNumberFormat="1"/>
    <xf numFmtId="1" fontId="2" fillId="0" borderId="0" xfId="0" applyNumberFormat="1" applyFont="1"/>
    <xf numFmtId="165" fontId="2" fillId="0" borderId="6" xfId="0" applyNumberFormat="1" applyFont="1" applyBorder="1"/>
    <xf numFmtId="164" fontId="0" fillId="0" borderId="7" xfId="0" applyNumberFormat="1" applyBorder="1"/>
    <xf numFmtId="164" fontId="0" fillId="0" borderId="8" xfId="0" applyNumberFormat="1" applyBorder="1"/>
    <xf numFmtId="9" fontId="0" fillId="0" borderId="9" xfId="0" applyNumberFormat="1" applyBorder="1"/>
    <xf numFmtId="9" fontId="0" fillId="0" borderId="10" xfId="0" applyNumberFormat="1" applyBorder="1"/>
    <xf numFmtId="9" fontId="0" fillId="0" borderId="11" xfId="0" applyNumberFormat="1" applyBorder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right"/>
    </xf>
    <xf numFmtId="15" fontId="26" fillId="2" borderId="0" xfId="0" applyNumberFormat="1" applyFont="1" applyFill="1" applyAlignment="1">
      <alignment horizontal="left" vertical="center"/>
    </xf>
    <xf numFmtId="0" fontId="27" fillId="0" borderId="0" xfId="0" applyFont="1" applyAlignment="1">
      <alignment horizontal="right"/>
    </xf>
  </cellXfs>
  <cellStyles count="5">
    <cellStyle name="Comma" xfId="1" builtinId="3"/>
    <cellStyle name="Hard input" xfId="3"/>
    <cellStyle name="Hard input %" xf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My%20portfolio%20of%20proj/Tes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la valuation"/>
      <sheetName val="Introduction"/>
      <sheetName val="P&amp;L"/>
      <sheetName val="Balance Statement"/>
      <sheetName val="Cashflow"/>
      <sheetName val="Valuation"/>
    </sheetNames>
    <sheetDataSet>
      <sheetData sheetId="0" refreshError="1"/>
      <sheetData sheetId="1" refreshError="1"/>
      <sheetData sheetId="2">
        <row r="14">
          <cell r="C14">
            <v>8.2513302718857054E-2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11"/>
  <sheetViews>
    <sheetView showGridLines="0" workbookViewId="0">
      <selection activeCell="C15" sqref="C15"/>
    </sheetView>
  </sheetViews>
  <sheetFormatPr defaultRowHeight="15" x14ac:dyDescent="0.25"/>
  <sheetData>
    <row r="9" spans="1:4" ht="32.25" customHeight="1" x14ac:dyDescent="0.55000000000000004">
      <c r="A9" s="96" t="s">
        <v>142</v>
      </c>
      <c r="B9" s="96"/>
      <c r="C9" s="96"/>
      <c r="D9" s="96"/>
    </row>
    <row r="10" spans="1:4" ht="19.5" customHeight="1" x14ac:dyDescent="0.35">
      <c r="A10" s="97" t="s">
        <v>140</v>
      </c>
    </row>
    <row r="11" spans="1:4" ht="31.5" customHeight="1" x14ac:dyDescent="0.45">
      <c r="A11" s="98" t="s">
        <v>141</v>
      </c>
      <c r="B11" s="98"/>
      <c r="C11" s="9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workbookViewId="0">
      <selection activeCell="E13" sqref="E13"/>
    </sheetView>
  </sheetViews>
  <sheetFormatPr defaultRowHeight="15" x14ac:dyDescent="0.25"/>
  <cols>
    <col min="1" max="1" width="31" customWidth="1"/>
    <col min="2" max="2" width="47.42578125" customWidth="1"/>
  </cols>
  <sheetData>
    <row r="1" spans="1:7" s="16" customFormat="1" ht="20.25" customHeight="1" x14ac:dyDescent="0.25">
      <c r="A1" s="28" t="s">
        <v>117</v>
      </c>
      <c r="B1" s="85" t="s">
        <v>99</v>
      </c>
      <c r="C1" s="27"/>
      <c r="D1" s="27"/>
      <c r="E1" s="27"/>
      <c r="F1" s="27"/>
      <c r="G1" s="27"/>
    </row>
    <row r="2" spans="1:7" ht="17.25" x14ac:dyDescent="0.3">
      <c r="A2" s="86" t="s">
        <v>138</v>
      </c>
      <c r="B2" s="87" t="s">
        <v>139</v>
      </c>
    </row>
    <row r="3" spans="1:7" ht="17.25" x14ac:dyDescent="0.3">
      <c r="A3" s="86" t="s">
        <v>118</v>
      </c>
      <c r="B3" s="87">
        <v>2023</v>
      </c>
    </row>
    <row r="4" spans="1:7" ht="17.25" x14ac:dyDescent="0.3">
      <c r="A4" s="86" t="s">
        <v>131</v>
      </c>
      <c r="B4" s="87">
        <v>248.48</v>
      </c>
    </row>
    <row r="5" spans="1:7" ht="17.25" x14ac:dyDescent="0.3">
      <c r="A5" s="86" t="s">
        <v>119</v>
      </c>
      <c r="B5" s="87">
        <v>3185000</v>
      </c>
    </row>
    <row r="6" spans="1:7" ht="17.25" x14ac:dyDescent="0.3">
      <c r="A6" s="86" t="s">
        <v>120</v>
      </c>
      <c r="B6" s="87">
        <v>2025</v>
      </c>
    </row>
    <row r="7" spans="1:7" ht="17.25" x14ac:dyDescent="0.3">
      <c r="A7" s="86" t="s">
        <v>121</v>
      </c>
      <c r="B7" s="87" t="s">
        <v>122</v>
      </c>
    </row>
    <row r="8" spans="1:7" ht="17.25" x14ac:dyDescent="0.3">
      <c r="A8" s="86" t="s">
        <v>123</v>
      </c>
      <c r="B8" s="87" t="s">
        <v>124</v>
      </c>
    </row>
    <row r="9" spans="1:7" ht="17.25" x14ac:dyDescent="0.3">
      <c r="A9" s="86" t="s">
        <v>125</v>
      </c>
      <c r="B9" s="87" t="s">
        <v>126</v>
      </c>
    </row>
    <row r="10" spans="1:7" ht="17.25" x14ac:dyDescent="0.3">
      <c r="A10" s="86" t="s">
        <v>127</v>
      </c>
      <c r="B10" s="87" t="s">
        <v>132</v>
      </c>
    </row>
    <row r="11" spans="1:7" ht="17.25" x14ac:dyDescent="0.3">
      <c r="A11" s="86" t="s">
        <v>128</v>
      </c>
      <c r="B11" s="102" t="s">
        <v>133</v>
      </c>
    </row>
    <row r="12" spans="1:7" ht="17.25" x14ac:dyDescent="0.3">
      <c r="A12" s="86" t="s">
        <v>129</v>
      </c>
      <c r="B12" s="87" t="s">
        <v>134</v>
      </c>
    </row>
    <row r="13" spans="1:7" ht="17.25" x14ac:dyDescent="0.3">
      <c r="A13" s="86" t="s">
        <v>135</v>
      </c>
      <c r="B13" s="87" t="s">
        <v>136</v>
      </c>
    </row>
    <row r="14" spans="1:7" ht="17.25" x14ac:dyDescent="0.3">
      <c r="A14" s="99" t="s">
        <v>130</v>
      </c>
      <c r="B14" s="10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workbookViewId="0">
      <selection activeCell="K15" sqref="K15"/>
    </sheetView>
  </sheetViews>
  <sheetFormatPr defaultRowHeight="15" x14ac:dyDescent="0.25"/>
  <cols>
    <col min="1" max="1" width="36.85546875" style="10" customWidth="1"/>
    <col min="2" max="2" width="12.85546875" customWidth="1"/>
    <col min="3" max="3" width="12.5703125" customWidth="1"/>
    <col min="4" max="4" width="12.140625" customWidth="1"/>
    <col min="5" max="5" width="12.42578125" customWidth="1"/>
    <col min="6" max="7" width="13.5703125" bestFit="1" customWidth="1"/>
  </cols>
  <sheetData>
    <row r="1" spans="1:7" s="16" customFormat="1" ht="20.25" customHeight="1" x14ac:dyDescent="0.25">
      <c r="A1" s="28" t="s">
        <v>53</v>
      </c>
      <c r="B1" s="77">
        <v>44590</v>
      </c>
      <c r="C1" s="77">
        <v>44954</v>
      </c>
      <c r="D1" s="77">
        <v>45318</v>
      </c>
      <c r="E1" s="101">
        <v>45684</v>
      </c>
      <c r="F1" s="101">
        <v>46049</v>
      </c>
      <c r="G1" s="101">
        <v>46414</v>
      </c>
    </row>
    <row r="2" spans="1:7" ht="15.75" x14ac:dyDescent="0.25">
      <c r="A2" s="11" t="s">
        <v>0</v>
      </c>
      <c r="B2" s="5">
        <v>26914</v>
      </c>
      <c r="C2" s="5">
        <v>26974</v>
      </c>
      <c r="D2" s="5">
        <v>60922</v>
      </c>
      <c r="E2" s="8">
        <f>D2*(1+E3)</f>
        <v>99326.454750668316</v>
      </c>
      <c r="F2" s="8">
        <f t="shared" ref="F2:G2" si="0">E2*(1+F3)</f>
        <v>161940.58982529398</v>
      </c>
      <c r="G2" s="8">
        <f t="shared" si="0"/>
        <v>297933.97089893091</v>
      </c>
    </row>
    <row r="3" spans="1:7" s="79" customFormat="1" ht="15.75" x14ac:dyDescent="0.25">
      <c r="A3" s="30" t="s">
        <v>105</v>
      </c>
      <c r="B3" s="80"/>
      <c r="C3" s="81">
        <f>(C2-B2)/B2</f>
        <v>2.2293230289068887E-3</v>
      </c>
      <c r="D3" s="81">
        <f>(D2-C2)/C2</f>
        <v>1.2585452658115222</v>
      </c>
      <c r="E3" s="82">
        <f>AVERAGE(B3:D3)</f>
        <v>0.63038729442021457</v>
      </c>
      <c r="F3" s="82">
        <f t="shared" ref="F3:G3" si="1">AVERAGE(C3:E3)</f>
        <v>0.63038729442021457</v>
      </c>
      <c r="G3" s="82">
        <f t="shared" si="1"/>
        <v>0.83977328488398373</v>
      </c>
    </row>
    <row r="4" spans="1:7" ht="15.75" x14ac:dyDescent="0.25">
      <c r="A4" s="11" t="s">
        <v>1</v>
      </c>
      <c r="B4" s="7">
        <v>-8793</v>
      </c>
      <c r="C4" s="7">
        <v>-10921</v>
      </c>
      <c r="D4" s="7">
        <v>-15998</v>
      </c>
      <c r="E4" s="8">
        <f>E5*E2</f>
        <v>-32916.016454199176</v>
      </c>
      <c r="F4" s="8">
        <f t="shared" ref="F4:G4" si="2">F5*F2</f>
        <v>-53918.749605000266</v>
      </c>
      <c r="G4" s="8">
        <f t="shared" si="2"/>
        <v>-92056.056345475416</v>
      </c>
    </row>
    <row r="5" spans="1:7" s="79" customFormat="1" ht="15.75" x14ac:dyDescent="0.25">
      <c r="A5" s="30" t="s">
        <v>106</v>
      </c>
      <c r="B5" s="21">
        <f>B4/B2</f>
        <v>-0.32670728988630454</v>
      </c>
      <c r="C5" s="21">
        <f t="shared" ref="C5:D5" si="3">C4/C2</f>
        <v>-0.40487135760361831</v>
      </c>
      <c r="D5" s="21">
        <f t="shared" si="3"/>
        <v>-0.26259807622862019</v>
      </c>
      <c r="E5" s="78">
        <f>AVERAGE(B5:D5)</f>
        <v>-0.33139224123951433</v>
      </c>
      <c r="F5" s="78">
        <f t="shared" ref="F5:G5" si="4">AVERAGE(C5:E5)</f>
        <v>-0.33295389169058426</v>
      </c>
      <c r="G5" s="78">
        <f t="shared" si="4"/>
        <v>-0.30898140305290628</v>
      </c>
    </row>
    <row r="6" spans="1:7" ht="15.75" x14ac:dyDescent="0.25">
      <c r="A6" s="11" t="s">
        <v>2</v>
      </c>
      <c r="B6" s="5">
        <v>18121</v>
      </c>
      <c r="C6" s="5">
        <v>16053</v>
      </c>
      <c r="D6" s="5">
        <v>44924</v>
      </c>
      <c r="E6" s="6">
        <f>E2+E4</f>
        <v>66410.438296469132</v>
      </c>
      <c r="F6" s="6">
        <f t="shared" ref="F6:G6" si="5">F2+F4</f>
        <v>108021.84022029371</v>
      </c>
      <c r="G6" s="6">
        <f t="shared" si="5"/>
        <v>205877.91455345548</v>
      </c>
    </row>
    <row r="7" spans="1:7" ht="15.75" x14ac:dyDescent="0.25">
      <c r="A7" s="11" t="s">
        <v>51</v>
      </c>
      <c r="B7" s="7">
        <v>-8080</v>
      </c>
      <c r="C7" s="7">
        <v>-11829</v>
      </c>
      <c r="D7" s="7">
        <v>-11952</v>
      </c>
      <c r="E7" s="8">
        <f>E8*E6</f>
        <v>-32072.089885438989</v>
      </c>
      <c r="F7" s="8">
        <f t="shared" ref="F7:G7" si="6">F8*F6</f>
        <v>-53501.720389260518</v>
      </c>
      <c r="G7" s="8">
        <f t="shared" si="6"/>
        <v>-85389.440117831633</v>
      </c>
    </row>
    <row r="8" spans="1:7" s="79" customFormat="1" ht="15.75" x14ac:dyDescent="0.25">
      <c r="A8" s="30" t="s">
        <v>107</v>
      </c>
      <c r="B8" s="21">
        <f>B7/B6</f>
        <v>-0.44589150709122011</v>
      </c>
      <c r="C8" s="21">
        <f t="shared" ref="C8:D8" si="7">C7/C6</f>
        <v>-0.73687161278265745</v>
      </c>
      <c r="D8" s="21">
        <f t="shared" si="7"/>
        <v>-0.26604932775353929</v>
      </c>
      <c r="E8" s="78">
        <f>AVERAGE(B8:D8)</f>
        <v>-0.48293748254247221</v>
      </c>
      <c r="F8" s="78">
        <f t="shared" ref="F8:G8" si="8">AVERAGE(C8:E8)</f>
        <v>-0.49528614102622298</v>
      </c>
      <c r="G8" s="78">
        <f t="shared" si="8"/>
        <v>-0.41475765044074486</v>
      </c>
    </row>
    <row r="9" spans="1:7" ht="15.75" x14ac:dyDescent="0.25">
      <c r="A9" s="11" t="s">
        <v>3</v>
      </c>
      <c r="B9" s="5">
        <v>10041</v>
      </c>
      <c r="C9" s="5">
        <v>4224</v>
      </c>
      <c r="D9" s="5">
        <v>32972</v>
      </c>
      <c r="E9" s="6">
        <f>E6+E7</f>
        <v>34338.348411030143</v>
      </c>
      <c r="F9" s="6">
        <f t="shared" ref="F9:G9" si="9">F6+F7</f>
        <v>54520.119831033197</v>
      </c>
      <c r="G9" s="6">
        <f t="shared" si="9"/>
        <v>120488.47443562385</v>
      </c>
    </row>
    <row r="10" spans="1:7" ht="15.75" x14ac:dyDescent="0.25">
      <c r="A10" s="11" t="s">
        <v>4</v>
      </c>
      <c r="B10" s="5">
        <v>-100</v>
      </c>
      <c r="C10" s="5">
        <v>-43</v>
      </c>
      <c r="D10" s="5">
        <v>846</v>
      </c>
      <c r="E10" s="5">
        <v>0</v>
      </c>
      <c r="F10" s="9">
        <v>0</v>
      </c>
      <c r="G10" s="9">
        <v>0</v>
      </c>
    </row>
    <row r="11" spans="1:7" ht="15.75" x14ac:dyDescent="0.25">
      <c r="A11" s="11" t="s">
        <v>5</v>
      </c>
      <c r="B11" s="5">
        <v>9941</v>
      </c>
      <c r="C11" s="5">
        <v>4181</v>
      </c>
      <c r="D11" s="5">
        <v>33818</v>
      </c>
      <c r="E11" s="6">
        <f>E9+E10</f>
        <v>34338.348411030143</v>
      </c>
      <c r="F11" s="6">
        <f t="shared" ref="F11:G11" si="10">F9+F10</f>
        <v>54520.119831033197</v>
      </c>
      <c r="G11" s="6">
        <f t="shared" si="10"/>
        <v>120488.47443562385</v>
      </c>
    </row>
    <row r="12" spans="1:7" ht="15.75" x14ac:dyDescent="0.25">
      <c r="A12" s="11" t="s">
        <v>6</v>
      </c>
      <c r="B12" s="7">
        <v>-189</v>
      </c>
      <c r="C12" s="7">
        <v>187</v>
      </c>
      <c r="D12" s="7">
        <v>-4058</v>
      </c>
      <c r="E12" s="8">
        <f>E13*E11</f>
        <v>-1079.1546925704963</v>
      </c>
      <c r="F12" s="8">
        <f t="shared" ref="F12:G12" si="11">F13*F11</f>
        <v>-1939.0303465605712</v>
      </c>
      <c r="G12" s="8">
        <f t="shared" si="11"/>
        <v>-7509.9573315057205</v>
      </c>
    </row>
    <row r="13" spans="1:7" s="79" customFormat="1" ht="15.75" x14ac:dyDescent="0.25">
      <c r="A13" s="30" t="s">
        <v>108</v>
      </c>
      <c r="B13" s="21">
        <f>B12/B11</f>
        <v>-1.9012171813700834E-2</v>
      </c>
      <c r="C13" s="21">
        <f t="shared" ref="C13:D13" si="12">C12/C11</f>
        <v>4.4726142071274816E-2</v>
      </c>
      <c r="D13" s="21">
        <f t="shared" si="12"/>
        <v>-0.1199952687917677</v>
      </c>
      <c r="E13" s="78">
        <f>AVERAGE(B13:D13)</f>
        <v>-3.1427099511397903E-2</v>
      </c>
      <c r="F13" s="78">
        <f t="shared" ref="F13:G13" si="13">AVERAGE(C13:E13)</f>
        <v>-3.5565408743963599E-2</v>
      </c>
      <c r="G13" s="78">
        <f t="shared" si="13"/>
        <v>-6.2329259015709737E-2</v>
      </c>
    </row>
    <row r="14" spans="1:7" ht="15.75" x14ac:dyDescent="0.25">
      <c r="A14" s="11" t="s">
        <v>7</v>
      </c>
      <c r="B14" s="5">
        <v>9752</v>
      </c>
      <c r="C14" s="5">
        <v>4368</v>
      </c>
      <c r="D14" s="5">
        <v>29760</v>
      </c>
      <c r="E14" s="6">
        <f>E11+E12</f>
        <v>33259.193718459646</v>
      </c>
      <c r="F14" s="6">
        <f t="shared" ref="F14:G14" si="14">F11+F12</f>
        <v>52581.089484472628</v>
      </c>
      <c r="G14" s="6">
        <f t="shared" si="14"/>
        <v>112978.51710411813</v>
      </c>
    </row>
    <row r="15" spans="1:7" ht="15.75" x14ac:dyDescent="0.25">
      <c r="A15" s="11" t="s">
        <v>8</v>
      </c>
      <c r="B15" s="5">
        <v>9752</v>
      </c>
      <c r="C15" s="5">
        <v>4368</v>
      </c>
      <c r="D15" s="5">
        <v>29760</v>
      </c>
      <c r="E15" s="6">
        <f>E14</f>
        <v>33259.193718459646</v>
      </c>
      <c r="F15" s="6">
        <f t="shared" ref="F15:G15" si="15">F14</f>
        <v>52581.089484472628</v>
      </c>
      <c r="G15" s="6">
        <f t="shared" si="15"/>
        <v>112978.51710411813</v>
      </c>
    </row>
    <row r="16" spans="1:7" s="79" customFormat="1" ht="15.75" x14ac:dyDescent="0.25">
      <c r="A16" s="30" t="s">
        <v>109</v>
      </c>
      <c r="B16" s="23"/>
      <c r="C16" s="24">
        <f>(C15-B15)/B15</f>
        <v>-0.55209187858900743</v>
      </c>
      <c r="D16" s="24">
        <f t="shared" ref="D16:G16" si="16">(D15-C15)/C15</f>
        <v>5.813186813186813</v>
      </c>
      <c r="E16" s="24">
        <f t="shared" si="16"/>
        <v>0.11758043408802575</v>
      </c>
      <c r="F16" s="24">
        <f t="shared" si="16"/>
        <v>0.58094901306308178</v>
      </c>
      <c r="G16" s="24">
        <f t="shared" si="16"/>
        <v>1.1486530273869862</v>
      </c>
    </row>
    <row r="17" spans="1:7" x14ac:dyDescent="0.25">
      <c r="A17" s="12"/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7" workbookViewId="0">
      <selection activeCell="J10" sqref="J10"/>
    </sheetView>
  </sheetViews>
  <sheetFormatPr defaultRowHeight="15" x14ac:dyDescent="0.25"/>
  <cols>
    <col min="1" max="1" width="44.42578125" style="10" customWidth="1"/>
    <col min="2" max="2" width="13.85546875" customWidth="1"/>
    <col min="3" max="3" width="12.7109375" customWidth="1"/>
    <col min="4" max="4" width="14" bestFit="1" customWidth="1"/>
    <col min="5" max="5" width="12.7109375" customWidth="1"/>
    <col min="6" max="6" width="12.140625" customWidth="1"/>
    <col min="7" max="7" width="12.85546875" customWidth="1"/>
  </cols>
  <sheetData>
    <row r="1" spans="1:7" s="16" customFormat="1" ht="20.25" customHeight="1" x14ac:dyDescent="0.25">
      <c r="A1" s="28" t="s">
        <v>53</v>
      </c>
      <c r="B1" s="77">
        <v>44590</v>
      </c>
      <c r="C1" s="77">
        <v>44954</v>
      </c>
      <c r="D1" s="77">
        <v>45318</v>
      </c>
      <c r="E1" s="101">
        <v>45684</v>
      </c>
      <c r="F1" s="101">
        <v>46049</v>
      </c>
      <c r="G1" s="101">
        <v>46414</v>
      </c>
    </row>
    <row r="2" spans="1:7" ht="15.75" x14ac:dyDescent="0.25">
      <c r="A2" s="11" t="s">
        <v>9</v>
      </c>
      <c r="B2" s="3">
        <v>1990</v>
      </c>
      <c r="C2" s="3">
        <v>3389</v>
      </c>
      <c r="D2" s="3">
        <v>7280</v>
      </c>
      <c r="E2" s="18">
        <f>D2+'Cashflow statement'!E24</f>
        <v>6853.4335012712618</v>
      </c>
      <c r="F2" s="18">
        <f>E2+'Cashflow statement'!F24</f>
        <v>11739.006506979731</v>
      </c>
      <c r="G2" s="18">
        <f>F2+'Cashflow statement'!G24</f>
        <v>48904.884474805702</v>
      </c>
    </row>
    <row r="3" spans="1:7" ht="15.75" x14ac:dyDescent="0.25">
      <c r="A3" s="11" t="s">
        <v>10</v>
      </c>
      <c r="B3" s="3">
        <v>4650</v>
      </c>
      <c r="C3" s="3">
        <v>3827</v>
      </c>
      <c r="D3" s="3">
        <v>9999</v>
      </c>
      <c r="E3" s="17">
        <f>E4*'Income statement'!E2</f>
        <v>15851.767141848775</v>
      </c>
      <c r="F3" s="17">
        <f>F4*'Income statement'!F2</f>
        <v>25133.064262419888</v>
      </c>
      <c r="G3" s="17">
        <f>G4*'Income statement'!G2</f>
        <v>47562.158178180282</v>
      </c>
    </row>
    <row r="4" spans="1:7" s="23" customFormat="1" ht="15.75" x14ac:dyDescent="0.25">
      <c r="A4" s="83" t="s">
        <v>110</v>
      </c>
      <c r="B4" s="21">
        <f>B3/'Income statement'!B2</f>
        <v>0.17277253474028387</v>
      </c>
      <c r="C4" s="21">
        <f>C3/'Income statement'!C2</f>
        <v>0.14187736338696522</v>
      </c>
      <c r="D4" s="21">
        <f>D3/'Income statement'!D2</f>
        <v>0.1641279012507797</v>
      </c>
      <c r="E4" s="22">
        <f>AVERAGE(B4:D4)</f>
        <v>0.15959259979267626</v>
      </c>
      <c r="F4" s="22">
        <f t="shared" ref="F4:G4" si="0">AVERAGE(C4:E4)</f>
        <v>0.15519928814347372</v>
      </c>
      <c r="G4" s="22">
        <f t="shared" si="0"/>
        <v>0.15963992972897656</v>
      </c>
    </row>
    <row r="5" spans="1:7" ht="15.75" x14ac:dyDescent="0.25">
      <c r="A5" s="11" t="s">
        <v>11</v>
      </c>
      <c r="B5" s="3">
        <v>19218</v>
      </c>
      <c r="C5" s="3">
        <v>9907</v>
      </c>
      <c r="D5" s="3">
        <v>18704</v>
      </c>
      <c r="E5" s="17">
        <f>E6*'Income statement'!E2</f>
        <v>45966.538317654638</v>
      </c>
      <c r="F5" s="17">
        <f>F6*'Income statement'!F2</f>
        <v>61379.670404179662</v>
      </c>
      <c r="G5" s="17">
        <f>G6*'Income statement'!G2</f>
        <v>114091.21365048552</v>
      </c>
    </row>
    <row r="6" spans="1:7" s="23" customFormat="1" ht="15.75" x14ac:dyDescent="0.25">
      <c r="A6" s="83" t="s">
        <v>110</v>
      </c>
      <c r="B6" s="21">
        <f>B5/'Income statement'!B2</f>
        <v>0.71405216615887646</v>
      </c>
      <c r="C6" s="21">
        <f>C5/'Income statement'!C2</f>
        <v>0.36727960258026249</v>
      </c>
      <c r="D6" s="21">
        <f>D5/'Income statement'!D2</f>
        <v>0.30701552805226356</v>
      </c>
      <c r="E6" s="22">
        <f>AVERAGE(B6:D6)</f>
        <v>0.46278243226380084</v>
      </c>
      <c r="F6" s="22">
        <f t="shared" ref="F6:G6" si="1">AVERAGE(C6:E6)</f>
        <v>0.37902585429877561</v>
      </c>
      <c r="G6" s="22">
        <f t="shared" si="1"/>
        <v>0.38294127153828</v>
      </c>
    </row>
    <row r="7" spans="1:7" ht="15.75" x14ac:dyDescent="0.25">
      <c r="A7" s="11" t="s">
        <v>12</v>
      </c>
      <c r="B7" s="3">
        <v>2605</v>
      </c>
      <c r="C7" s="3">
        <v>5159</v>
      </c>
      <c r="D7" s="3">
        <v>5282</v>
      </c>
      <c r="E7" s="17">
        <f>-E8*'Income statement'!E4</f>
        <v>12056.229400343249</v>
      </c>
      <c r="F7" s="17">
        <f>-F8*'Income statement'!F4</f>
        <v>21007.308133105758</v>
      </c>
      <c r="G7" s="17">
        <f>-G8*'Income statement'!G4</f>
        <v>33325.800576027665</v>
      </c>
    </row>
    <row r="8" spans="1:7" s="23" customFormat="1" ht="15.75" x14ac:dyDescent="0.25">
      <c r="A8" s="83" t="s">
        <v>111</v>
      </c>
      <c r="B8" s="21">
        <f>-B7/'Income statement'!B4</f>
        <v>0.29625838735357674</v>
      </c>
      <c r="C8" s="21">
        <f>-C7/'Income statement'!C4</f>
        <v>0.47239263803680981</v>
      </c>
      <c r="D8" s="21">
        <f>-D7/'Income statement'!D4</f>
        <v>0.33016627078384797</v>
      </c>
      <c r="E8" s="22">
        <f>AVERAGE(B8:D8)</f>
        <v>0.36627243205807813</v>
      </c>
      <c r="F8" s="22">
        <f t="shared" ref="F8:G8" si="2">AVERAGE(C8:E8)</f>
        <v>0.38961044695957864</v>
      </c>
      <c r="G8" s="22">
        <f t="shared" si="2"/>
        <v>0.36201638326716828</v>
      </c>
    </row>
    <row r="9" spans="1:7" ht="15.75" x14ac:dyDescent="0.25">
      <c r="A9" s="11" t="s">
        <v>13</v>
      </c>
      <c r="B9" s="3">
        <v>366</v>
      </c>
      <c r="C9" s="3">
        <v>791</v>
      </c>
      <c r="D9" s="3">
        <v>3080</v>
      </c>
      <c r="E9" s="17">
        <f>-E10*'Income statement'!E4</f>
        <v>3363.7683583836611</v>
      </c>
      <c r="F9" s="17">
        <f>-F10*'Income statement'!F4</f>
        <v>6598.6804602148777</v>
      </c>
      <c r="G9" s="17">
        <f>-G10*'Income statement'!G4</f>
        <v>12798.812558059117</v>
      </c>
    </row>
    <row r="10" spans="1:7" s="23" customFormat="1" ht="15.75" x14ac:dyDescent="0.25">
      <c r="A10" s="83" t="s">
        <v>111</v>
      </c>
      <c r="B10" s="21">
        <f>-B9/'Income statement'!B4</f>
        <v>4.1624019106107128E-2</v>
      </c>
      <c r="C10" s="21">
        <f>-C9/'Income statement'!C4</f>
        <v>7.2429264719348047E-2</v>
      </c>
      <c r="D10" s="21">
        <f>-D9/'Income statement'!D4</f>
        <v>0.19252406550818851</v>
      </c>
      <c r="E10" s="22">
        <f>AVERAGE(B10:D10)</f>
        <v>0.10219244977788122</v>
      </c>
      <c r="F10" s="22">
        <f t="shared" ref="F10:G10" si="3">AVERAGE(C10:E10)</f>
        <v>0.12238192666847258</v>
      </c>
      <c r="G10" s="22">
        <f t="shared" si="3"/>
        <v>0.13903281398484743</v>
      </c>
    </row>
    <row r="11" spans="1:7" ht="15.75" x14ac:dyDescent="0.25">
      <c r="A11" s="11" t="s">
        <v>14</v>
      </c>
      <c r="B11" s="3">
        <v>3607</v>
      </c>
      <c r="C11" s="3">
        <v>4845</v>
      </c>
      <c r="D11" s="3">
        <v>5260</v>
      </c>
      <c r="E11" s="17">
        <f>E12*'Income statement'!E2</f>
        <v>13242.758805587264</v>
      </c>
      <c r="F11" s="17">
        <f>F12*'Income statement'!F2</f>
        <v>21553.370290891529</v>
      </c>
      <c r="G11" s="17">
        <f>G12*'Income statement'!G2</f>
        <v>35033.04380974012</v>
      </c>
    </row>
    <row r="12" spans="1:7" s="23" customFormat="1" ht="15.75" x14ac:dyDescent="0.25">
      <c r="A12" s="83" t="s">
        <v>110</v>
      </c>
      <c r="B12" s="21">
        <f>B11/'Income statement'!B2</f>
        <v>0.13401946942111911</v>
      </c>
      <c r="C12" s="21">
        <f>C11/'Income statement'!C2</f>
        <v>0.17961740935715875</v>
      </c>
      <c r="D12" s="21">
        <f>D11/'Income statement'!D2</f>
        <v>8.6339910048915003E-2</v>
      </c>
      <c r="E12" s="22">
        <f>AVERAGE(B12:D12)</f>
        <v>0.13332559627573096</v>
      </c>
      <c r="F12" s="22">
        <f t="shared" ref="F12:G12" si="4">AVERAGE(C12:E12)</f>
        <v>0.13309430522726826</v>
      </c>
      <c r="G12" s="22">
        <f t="shared" si="4"/>
        <v>0.11758660385063807</v>
      </c>
    </row>
    <row r="13" spans="1:7" ht="15.75" x14ac:dyDescent="0.25">
      <c r="A13" s="11" t="s">
        <v>15</v>
      </c>
      <c r="B13" s="3">
        <v>4349</v>
      </c>
      <c r="C13" s="3">
        <v>4372</v>
      </c>
      <c r="D13" s="3">
        <v>4430</v>
      </c>
      <c r="E13" s="18">
        <f>D13</f>
        <v>4430</v>
      </c>
      <c r="F13" s="18">
        <f t="shared" ref="F13:G13" si="5">E13</f>
        <v>4430</v>
      </c>
      <c r="G13" s="18">
        <f t="shared" si="5"/>
        <v>4430</v>
      </c>
    </row>
    <row r="14" spans="1:7" ht="15.75" x14ac:dyDescent="0.25">
      <c r="A14" s="11" t="s">
        <v>16</v>
      </c>
      <c r="B14" s="3">
        <v>2339</v>
      </c>
      <c r="C14" s="3">
        <v>1676</v>
      </c>
      <c r="D14" s="3">
        <v>1112</v>
      </c>
      <c r="E14" s="18">
        <f>D14</f>
        <v>1112</v>
      </c>
      <c r="F14" s="18">
        <f t="shared" ref="F14:G14" si="6">E14</f>
        <v>1112</v>
      </c>
      <c r="G14" s="18">
        <f t="shared" si="6"/>
        <v>1112</v>
      </c>
    </row>
    <row r="15" spans="1:7" ht="15.75" x14ac:dyDescent="0.25">
      <c r="A15" s="19" t="s">
        <v>52</v>
      </c>
      <c r="B15" s="3">
        <v>5063</v>
      </c>
      <c r="C15" s="3">
        <v>7216</v>
      </c>
      <c r="D15" s="3">
        <v>10581</v>
      </c>
      <c r="E15" s="18">
        <f>E16*'Income statement'!E2</f>
        <v>20835.898364346882</v>
      </c>
      <c r="F15" s="18">
        <f>F16*'Income statement'!F2</f>
        <v>35139.481070900358</v>
      </c>
      <c r="G15" s="18">
        <f>G16*'Income statement'!G2</f>
        <v>59630.783760555438</v>
      </c>
    </row>
    <row r="16" spans="1:7" s="23" customFormat="1" ht="15.75" x14ac:dyDescent="0.25">
      <c r="A16" s="83" t="s">
        <v>110</v>
      </c>
      <c r="B16" s="21">
        <f>B15/'Income statement'!B2</f>
        <v>0.18811770825592627</v>
      </c>
      <c r="C16" s="21">
        <f>C15/'Income statement'!C2</f>
        <v>0.26751686809520281</v>
      </c>
      <c r="D16" s="21">
        <f>D15/'Income statement'!D2</f>
        <v>0.17368110042349233</v>
      </c>
      <c r="E16" s="24">
        <f>AVERAGE(B16:D16)</f>
        <v>0.20977189225820714</v>
      </c>
      <c r="F16" s="24">
        <f t="shared" ref="F16:G16" si="7">AVERAGE(C16:E16)</f>
        <v>0.21698995359230078</v>
      </c>
      <c r="G16" s="24">
        <f t="shared" si="7"/>
        <v>0.20014764875800006</v>
      </c>
    </row>
    <row r="17" spans="1:7" s="2" customFormat="1" ht="15.75" x14ac:dyDescent="0.25">
      <c r="A17" s="13" t="s">
        <v>17</v>
      </c>
      <c r="B17" s="4">
        <v>44187</v>
      </c>
      <c r="C17" s="4">
        <v>41182</v>
      </c>
      <c r="D17" s="4">
        <v>65728</v>
      </c>
      <c r="E17" s="20">
        <f>E2+E3+E5+E7+E9+E11+E13+E14+E15</f>
        <v>123712.39388943573</v>
      </c>
      <c r="F17" s="20">
        <f t="shared" ref="F17:G17" si="8">F2+F3+F5+F7+F9+F11+F13+F14+F15</f>
        <v>188092.58112869182</v>
      </c>
      <c r="G17" s="20">
        <f t="shared" si="8"/>
        <v>356888.69700785383</v>
      </c>
    </row>
    <row r="18" spans="1:7" ht="15.75" x14ac:dyDescent="0.25">
      <c r="A18" s="11" t="s">
        <v>18</v>
      </c>
      <c r="B18" s="3">
        <v>1783</v>
      </c>
      <c r="C18" s="3">
        <v>1193</v>
      </c>
      <c r="D18" s="3">
        <v>2699</v>
      </c>
      <c r="E18" s="17">
        <f>-E19*'Income statement'!E4</f>
        <v>5274.4910460873834</v>
      </c>
      <c r="F18" s="17">
        <f>-F19*'Income statement'!F4</f>
        <v>7875.5260055841418</v>
      </c>
      <c r="G18" s="17">
        <f>-G19*'Income statement'!G4</f>
        <v>14575.91975373467</v>
      </c>
    </row>
    <row r="19" spans="1:7" s="23" customFormat="1" ht="15.75" x14ac:dyDescent="0.25">
      <c r="A19" s="83" t="s">
        <v>111</v>
      </c>
      <c r="B19" s="21">
        <f>-B18/'Income statement'!B4</f>
        <v>0.2027749346070738</v>
      </c>
      <c r="C19" s="21">
        <f>-C18/'Income statement'!C4</f>
        <v>0.10923908067026829</v>
      </c>
      <c r="D19" s="21">
        <f>-D18/'Income statement'!D4</f>
        <v>0.16870858857357168</v>
      </c>
      <c r="E19" s="22">
        <f>AVERAGE(B19:D19)</f>
        <v>0.16024086795030459</v>
      </c>
      <c r="F19" s="22">
        <f t="shared" ref="F19:G19" si="9">AVERAGE(C19:E19)</f>
        <v>0.14606284573138151</v>
      </c>
      <c r="G19" s="22">
        <f t="shared" si="9"/>
        <v>0.15833743408508594</v>
      </c>
    </row>
    <row r="20" spans="1:7" ht="15.75" x14ac:dyDescent="0.25">
      <c r="A20" s="11" t="s">
        <v>19</v>
      </c>
      <c r="B20" s="3">
        <v>1617</v>
      </c>
      <c r="C20" s="3">
        <v>2856</v>
      </c>
      <c r="D20" s="3">
        <v>5008</v>
      </c>
      <c r="E20" s="17">
        <f>-E21*'Income statement'!E4</f>
        <v>8321.7167298296863</v>
      </c>
      <c r="F20" s="17">
        <f>-F21*'Income statement'!F4</f>
        <v>14870.25706979029</v>
      </c>
      <c r="G20" s="17">
        <f>-G21*'Income statement'!G4</f>
        <v>25826.199761471526</v>
      </c>
    </row>
    <row r="21" spans="1:7" s="23" customFormat="1" ht="15.75" x14ac:dyDescent="0.25">
      <c r="A21" s="83" t="s">
        <v>112</v>
      </c>
      <c r="B21" s="21">
        <f>-B20/'Income statement'!B4</f>
        <v>0.18389628113271922</v>
      </c>
      <c r="C21" s="21">
        <f>-C20/'Income statement'!C4</f>
        <v>0.26151451332295578</v>
      </c>
      <c r="D21" s="21">
        <f>-D20/'Income statement'!D4</f>
        <v>0.31303912989123639</v>
      </c>
      <c r="E21" s="22">
        <f>AVERAGE(B21:D21)</f>
        <v>0.25281664144897048</v>
      </c>
      <c r="F21" s="22">
        <f t="shared" ref="F21:G21" si="10">AVERAGE(C21:E21)</f>
        <v>0.27579009488772094</v>
      </c>
      <c r="G21" s="22">
        <f t="shared" si="10"/>
        <v>0.28054862207597592</v>
      </c>
    </row>
    <row r="22" spans="1:7" ht="15.75" x14ac:dyDescent="0.25">
      <c r="A22" s="11" t="s">
        <v>20</v>
      </c>
      <c r="B22" s="3">
        <v>0</v>
      </c>
      <c r="C22" s="3">
        <v>0</v>
      </c>
      <c r="D22" s="3">
        <v>0</v>
      </c>
    </row>
    <row r="23" spans="1:7" ht="15.75" x14ac:dyDescent="0.25">
      <c r="A23" s="11" t="s">
        <v>21</v>
      </c>
      <c r="B23" s="3">
        <v>935</v>
      </c>
      <c r="C23" s="3">
        <v>1264</v>
      </c>
      <c r="D23" s="3">
        <v>1674</v>
      </c>
      <c r="E23" s="17">
        <f>E24*'Income statement'!E2</f>
        <v>3611.4430650173672</v>
      </c>
      <c r="F23" s="17">
        <f>F24*'Income statement'!F2</f>
        <v>5975.4471635878963</v>
      </c>
      <c r="G23" s="17">
        <f>G24*'Income statement'!G2</f>
        <v>10004.234821689535</v>
      </c>
    </row>
    <row r="24" spans="1:7" s="23" customFormat="1" ht="15.75" x14ac:dyDescent="0.25">
      <c r="A24" s="83" t="s">
        <v>110</v>
      </c>
      <c r="B24" s="21">
        <f>B23/'Income statement'!B2</f>
        <v>3.4740283867132349E-2</v>
      </c>
      <c r="C24" s="21">
        <f>C23/'Income statement'!C2</f>
        <v>4.6859939200711798E-2</v>
      </c>
      <c r="D24" s="21">
        <f>D23/'Income statement'!D2</f>
        <v>2.7477758445225042E-2</v>
      </c>
      <c r="E24" s="22">
        <f>AVERAGE(B24:D24)</f>
        <v>3.6359327171023061E-2</v>
      </c>
      <c r="F24" s="22">
        <f t="shared" ref="F24:G24" si="11">AVERAGE(C24:E24)</f>
        <v>3.6899008272319962E-2</v>
      </c>
      <c r="G24" s="22">
        <f t="shared" si="11"/>
        <v>3.3578697962856015E-2</v>
      </c>
    </row>
    <row r="25" spans="1:7" ht="15.75" x14ac:dyDescent="0.25">
      <c r="A25" s="11" t="s">
        <v>22</v>
      </c>
      <c r="B25" s="3">
        <v>10946</v>
      </c>
      <c r="C25" s="3">
        <v>10953</v>
      </c>
      <c r="D25" s="3">
        <v>9709</v>
      </c>
      <c r="E25" s="17">
        <f>E26*E17</f>
        <v>27274.477891089522</v>
      </c>
      <c r="F25" s="17">
        <f t="shared" ref="F25:G25" si="12">F26*F17</f>
        <v>39759.471028207445</v>
      </c>
      <c r="G25" s="17">
        <f t="shared" si="12"/>
        <v>68946.624944454161</v>
      </c>
    </row>
    <row r="26" spans="1:7" s="23" customFormat="1" ht="15.75" x14ac:dyDescent="0.25">
      <c r="A26" s="83" t="s">
        <v>113</v>
      </c>
      <c r="B26" s="21">
        <f>B25/B17</f>
        <v>0.24771991762283024</v>
      </c>
      <c r="C26" s="21">
        <f t="shared" ref="C26:D26" si="13">C25/C17</f>
        <v>0.26596571317565926</v>
      </c>
      <c r="D26" s="21">
        <f t="shared" si="13"/>
        <v>0.1477148247322298</v>
      </c>
      <c r="E26" s="22">
        <f>AVERAGE(B26:D26)</f>
        <v>0.22046681851023978</v>
      </c>
      <c r="F26" s="22">
        <f t="shared" ref="F26:G26" si="14">AVERAGE(C26:E26)</f>
        <v>0.21138245213937626</v>
      </c>
      <c r="G26" s="22">
        <f t="shared" si="14"/>
        <v>0.19318803179394861</v>
      </c>
    </row>
    <row r="27" spans="1:7" ht="15.75" x14ac:dyDescent="0.25">
      <c r="A27" s="11" t="s">
        <v>23</v>
      </c>
      <c r="B27" s="3">
        <v>245</v>
      </c>
      <c r="C27" s="3">
        <v>247</v>
      </c>
      <c r="D27" s="3">
        <v>462</v>
      </c>
      <c r="E27" s="18">
        <f>E28*'Income statement'!E15</f>
        <v>1077.5409398172771</v>
      </c>
      <c r="F27" s="18">
        <f>F28*'Income statement'!F15</f>
        <v>1831.0505709193101</v>
      </c>
      <c r="G27" s="18">
        <f>G28*'Income statement'!G15</f>
        <v>3116.1677547497316</v>
      </c>
    </row>
    <row r="28" spans="1:7" s="23" customFormat="1" ht="15.75" x14ac:dyDescent="0.25">
      <c r="A28" s="83" t="s">
        <v>114</v>
      </c>
      <c r="B28" s="21">
        <f>B27/'Income statement'!B15</f>
        <v>2.5123051681706317E-2</v>
      </c>
      <c r="C28" s="21">
        <f>C27/'Income statement'!C15</f>
        <v>5.6547619047619048E-2</v>
      </c>
      <c r="D28" s="21">
        <f>D27/'Income statement'!D15</f>
        <v>1.5524193548387097E-2</v>
      </c>
      <c r="E28" s="24">
        <f>AVERAGE(B28:D28)</f>
        <v>3.2398288092570816E-2</v>
      </c>
      <c r="F28" s="24">
        <f t="shared" ref="F28" si="15">AVERAGE(C28:E28)</f>
        <v>3.4823366896192316E-2</v>
      </c>
      <c r="G28" s="24">
        <f t="shared" ref="G28" si="16">AVERAGE(D28:F28)</f>
        <v>2.7581949512383408E-2</v>
      </c>
    </row>
    <row r="29" spans="1:7" ht="15.75" x14ac:dyDescent="0.25">
      <c r="A29" s="11" t="s">
        <v>24</v>
      </c>
      <c r="B29" s="3">
        <v>2049</v>
      </c>
      <c r="C29" s="3">
        <v>2568</v>
      </c>
      <c r="D29" s="3">
        <v>3198</v>
      </c>
      <c r="E29" s="17">
        <f>E30*E17</f>
        <v>6490.0968650994555</v>
      </c>
      <c r="F29" s="17">
        <f t="shared" ref="F29:G29" si="17">F30*F17</f>
        <v>10249.388787600581</v>
      </c>
      <c r="G29" s="17">
        <f t="shared" si="17"/>
        <v>18511.510255485115</v>
      </c>
    </row>
    <row r="30" spans="1:7" s="23" customFormat="1" ht="15.75" x14ac:dyDescent="0.25">
      <c r="A30" s="83" t="s">
        <v>113</v>
      </c>
      <c r="B30" s="21">
        <f>B29/B17</f>
        <v>4.6371104623531806E-2</v>
      </c>
      <c r="C30" s="21">
        <f t="shared" ref="C30:D30" si="18">C29/C17</f>
        <v>6.2357340585692776E-2</v>
      </c>
      <c r="D30" s="21">
        <f t="shared" si="18"/>
        <v>4.8655063291139243E-2</v>
      </c>
      <c r="E30" s="24">
        <f>AVERAGE(B30:D30)</f>
        <v>5.246116950012128E-2</v>
      </c>
      <c r="F30" s="24">
        <f t="shared" ref="F30:G30" si="19">AVERAGE(C30:E30)</f>
        <v>5.4491191125651095E-2</v>
      </c>
      <c r="G30" s="24">
        <f t="shared" si="19"/>
        <v>5.1869141305637211E-2</v>
      </c>
    </row>
    <row r="31" spans="1:7" s="2" customFormat="1" ht="15.75" x14ac:dyDescent="0.25">
      <c r="A31" s="13" t="s">
        <v>25</v>
      </c>
      <c r="B31" s="4">
        <v>17575</v>
      </c>
      <c r="C31" s="4">
        <v>19081</v>
      </c>
      <c r="D31" s="4">
        <v>22750</v>
      </c>
      <c r="E31" s="20">
        <f>E18+E20+E23+E25+E27+E29</f>
        <v>52049.766536940697</v>
      </c>
      <c r="F31" s="20">
        <f t="shared" ref="F31:G31" si="20">F18+F20+F23+F25+F27+F29</f>
        <v>80561.140625689659</v>
      </c>
      <c r="G31" s="20">
        <f t="shared" si="20"/>
        <v>140980.65729158474</v>
      </c>
    </row>
    <row r="32" spans="1:7" s="26" customFormat="1" ht="15.75" x14ac:dyDescent="0.25">
      <c r="A32" s="84" t="s">
        <v>113</v>
      </c>
      <c r="B32" s="25">
        <f>B31/B17</f>
        <v>0.39774141715889288</v>
      </c>
      <c r="C32" s="25">
        <f t="shared" ref="C32:G32" si="21">C31/C17</f>
        <v>0.46333349521635664</v>
      </c>
      <c r="D32" s="25">
        <f t="shared" si="21"/>
        <v>0.346123417721519</v>
      </c>
      <c r="E32" s="25">
        <f t="shared" si="21"/>
        <v>0.42073202935074255</v>
      </c>
      <c r="F32" s="25">
        <f t="shared" si="21"/>
        <v>0.42830578506746214</v>
      </c>
      <c r="G32" s="25">
        <f t="shared" si="21"/>
        <v>0.39502696071229809</v>
      </c>
    </row>
    <row r="33" spans="1:7" ht="18" customHeight="1" x14ac:dyDescent="0.25">
      <c r="A33" s="11" t="s">
        <v>26</v>
      </c>
      <c r="B33" s="3">
        <v>0</v>
      </c>
      <c r="C33" s="3">
        <v>0</v>
      </c>
      <c r="D33" s="3" t="s">
        <v>27</v>
      </c>
    </row>
    <row r="34" spans="1:7" ht="15.75" x14ac:dyDescent="0.25">
      <c r="A34" s="11" t="s">
        <v>28</v>
      </c>
      <c r="B34" s="3">
        <v>3</v>
      </c>
      <c r="C34" s="3">
        <v>2</v>
      </c>
      <c r="D34" s="3">
        <v>2</v>
      </c>
      <c r="E34" s="3">
        <v>2</v>
      </c>
      <c r="F34" s="3">
        <v>2</v>
      </c>
      <c r="G34" s="3">
        <v>2</v>
      </c>
    </row>
    <row r="35" spans="1:7" ht="15.75" x14ac:dyDescent="0.25">
      <c r="A35" s="11" t="s">
        <v>29</v>
      </c>
      <c r="B35" s="3">
        <v>10385</v>
      </c>
      <c r="C35" s="3">
        <v>11971</v>
      </c>
      <c r="D35" s="3">
        <v>13132</v>
      </c>
      <c r="E35" s="18">
        <f>E36*E17</f>
        <v>29917.871859746934</v>
      </c>
      <c r="F35" s="18">
        <f t="shared" ref="F35:G35" si="22">F36*F17</f>
        <v>45914.177041885865</v>
      </c>
      <c r="G35" s="18">
        <f t="shared" si="22"/>
        <v>81576.582666156784</v>
      </c>
    </row>
    <row r="36" spans="1:7" s="23" customFormat="1" ht="15.75" x14ac:dyDescent="0.25">
      <c r="A36" s="83" t="s">
        <v>113</v>
      </c>
      <c r="B36" s="21">
        <f>B35/B17</f>
        <v>0.23502387580057482</v>
      </c>
      <c r="C36" s="21">
        <f t="shared" ref="C36:D36" si="23">C35/C17</f>
        <v>0.29068525083774466</v>
      </c>
      <c r="D36" s="21">
        <f t="shared" si="23"/>
        <v>0.19979308666017526</v>
      </c>
      <c r="E36" s="24">
        <f>AVERAGE(B36:D36)</f>
        <v>0.24183407109949825</v>
      </c>
      <c r="F36" s="24">
        <f t="shared" ref="F36:G36" si="24">AVERAGE(C36:E36)</f>
        <v>0.2441041361991394</v>
      </c>
      <c r="G36" s="24">
        <f t="shared" si="24"/>
        <v>0.22857709798627099</v>
      </c>
    </row>
    <row r="37" spans="1:7" ht="17.25" customHeight="1" x14ac:dyDescent="0.25">
      <c r="A37" s="11" t="s">
        <v>30</v>
      </c>
      <c r="B37" s="3">
        <v>16235</v>
      </c>
      <c r="C37" s="3">
        <v>10171</v>
      </c>
      <c r="D37" s="3">
        <v>29817</v>
      </c>
      <c r="E37" s="17">
        <f>E38*E17-2327.295</f>
        <v>41715.755325720449</v>
      </c>
      <c r="F37" s="17">
        <f>F38*F17-4659.871</f>
        <v>61588.263548508694</v>
      </c>
      <c r="G37" s="17">
        <f>G38*G17-3916.27</f>
        <v>134302.45817135987</v>
      </c>
    </row>
    <row r="38" spans="1:7" s="23" customFormat="1" ht="17.25" customHeight="1" x14ac:dyDescent="0.25">
      <c r="A38" s="83" t="s">
        <v>113</v>
      </c>
      <c r="B38" s="21">
        <f>B37/B17</f>
        <v>0.3674157557652703</v>
      </c>
      <c r="C38" s="21">
        <f t="shared" ref="C38:D38" si="25">C37/C17</f>
        <v>0.24697683453936187</v>
      </c>
      <c r="D38" s="21">
        <f t="shared" si="25"/>
        <v>0.4536422833495618</v>
      </c>
      <c r="E38" s="24">
        <f>AVERAGE(B38:D38)</f>
        <v>0.35601162455139795</v>
      </c>
      <c r="F38" s="24">
        <f t="shared" ref="F38:G38" si="26">AVERAGE(C38:E38)</f>
        <v>0.35221024748010721</v>
      </c>
      <c r="G38" s="24">
        <f t="shared" si="26"/>
        <v>0.38728805179368897</v>
      </c>
    </row>
    <row r="39" spans="1:7" ht="15.75" x14ac:dyDescent="0.25">
      <c r="A39" s="11" t="s">
        <v>31</v>
      </c>
      <c r="B39" s="3">
        <v>0</v>
      </c>
      <c r="C39" s="3" t="s">
        <v>27</v>
      </c>
      <c r="D39" s="3" t="s">
        <v>27</v>
      </c>
    </row>
    <row r="40" spans="1:7" ht="15.75" x14ac:dyDescent="0.25">
      <c r="A40" s="11" t="s">
        <v>32</v>
      </c>
      <c r="B40" s="3">
        <v>-11</v>
      </c>
      <c r="C40" s="3">
        <v>-43</v>
      </c>
      <c r="D40" s="3">
        <v>27</v>
      </c>
      <c r="E40" s="3">
        <v>27</v>
      </c>
      <c r="F40" s="3">
        <v>27</v>
      </c>
      <c r="G40" s="3">
        <v>27</v>
      </c>
    </row>
    <row r="41" spans="1:7" s="2" customFormat="1" ht="15.75" x14ac:dyDescent="0.25">
      <c r="A41" s="13" t="s">
        <v>33</v>
      </c>
      <c r="B41" s="4">
        <v>26612</v>
      </c>
      <c r="C41" s="4">
        <v>22101</v>
      </c>
      <c r="D41" s="4">
        <v>42978</v>
      </c>
      <c r="E41" s="20">
        <f>E34+E35+E37+E40</f>
        <v>71662.627185467383</v>
      </c>
      <c r="F41" s="20">
        <f t="shared" ref="F41:G41" si="27">F34+F35+F37+F40</f>
        <v>107531.44059039456</v>
      </c>
      <c r="G41" s="20">
        <f t="shared" si="27"/>
        <v>215908.04083751666</v>
      </c>
    </row>
    <row r="42" spans="1:7" s="26" customFormat="1" ht="15.75" x14ac:dyDescent="0.25">
      <c r="A42" s="84" t="s">
        <v>113</v>
      </c>
      <c r="B42" s="25">
        <f>B41/B17</f>
        <v>0.60225858284110712</v>
      </c>
      <c r="C42" s="25">
        <f t="shared" ref="C42:G42" si="28">C41/C17</f>
        <v>0.53666650478364331</v>
      </c>
      <c r="D42" s="25">
        <f t="shared" si="28"/>
        <v>0.653876582278481</v>
      </c>
      <c r="E42" s="25">
        <f t="shared" si="28"/>
        <v>0.57926796929912883</v>
      </c>
      <c r="F42" s="25">
        <f t="shared" si="28"/>
        <v>0.57169421539716225</v>
      </c>
      <c r="G42" s="25">
        <f t="shared" si="28"/>
        <v>0.60497304242943084</v>
      </c>
    </row>
    <row r="43" spans="1:7" s="2" customFormat="1" ht="15.75" x14ac:dyDescent="0.25">
      <c r="A43" s="13" t="s">
        <v>34</v>
      </c>
      <c r="B43" s="4">
        <v>44187</v>
      </c>
      <c r="C43" s="4">
        <v>41182</v>
      </c>
      <c r="D43" s="4">
        <v>65728</v>
      </c>
      <c r="E43" s="20">
        <f>E31+E41</f>
        <v>123712.39372240807</v>
      </c>
      <c r="F43" s="20">
        <f t="shared" ref="F43:G43" si="29">F31+F41</f>
        <v>188092.58121608422</v>
      </c>
      <c r="G43" s="20">
        <f t="shared" si="29"/>
        <v>356888.69812910142</v>
      </c>
    </row>
    <row r="44" spans="1:7" ht="15.75" x14ac:dyDescent="0.25">
      <c r="A44" s="11" t="s">
        <v>35</v>
      </c>
      <c r="B44" s="3">
        <v>25060</v>
      </c>
      <c r="C44" s="3">
        <v>24660</v>
      </c>
      <c r="D44" s="3">
        <v>24640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4" sqref="I4"/>
    </sheetView>
  </sheetViews>
  <sheetFormatPr defaultRowHeight="15" x14ac:dyDescent="0.25"/>
  <cols>
    <col min="1" max="1" width="42.42578125" style="10" customWidth="1"/>
    <col min="2" max="2" width="14.42578125" customWidth="1"/>
    <col min="3" max="3" width="13" customWidth="1"/>
    <col min="4" max="4" width="12.28515625" customWidth="1"/>
    <col min="5" max="5" width="13.28515625" customWidth="1"/>
    <col min="6" max="6" width="13.7109375" customWidth="1"/>
    <col min="7" max="7" width="13.28515625" customWidth="1"/>
  </cols>
  <sheetData>
    <row r="1" spans="1:7" s="16" customFormat="1" ht="20.25" customHeight="1" x14ac:dyDescent="0.25">
      <c r="A1" s="28" t="s">
        <v>53</v>
      </c>
      <c r="B1" s="77">
        <v>44590</v>
      </c>
      <c r="C1" s="77">
        <v>44954</v>
      </c>
      <c r="D1" s="77">
        <v>45318</v>
      </c>
      <c r="E1" s="101">
        <v>45684</v>
      </c>
      <c r="F1" s="101">
        <v>46049</v>
      </c>
      <c r="G1" s="101">
        <v>46414</v>
      </c>
    </row>
    <row r="2" spans="1:7" ht="15.75" x14ac:dyDescent="0.25">
      <c r="A2" s="29" t="s">
        <v>36</v>
      </c>
      <c r="B2" s="14">
        <v>9752</v>
      </c>
      <c r="C2" s="14">
        <v>4368</v>
      </c>
      <c r="D2" s="14">
        <v>29760</v>
      </c>
      <c r="E2" s="17">
        <f>'Income statement'!E15</f>
        <v>33259.193718459646</v>
      </c>
      <c r="F2" s="17">
        <f>'Income statement'!F15</f>
        <v>52581.089484472628</v>
      </c>
      <c r="G2" s="17">
        <f>'Income statement'!G15</f>
        <v>112978.51710411813</v>
      </c>
    </row>
    <row r="3" spans="1:7" ht="15.75" x14ac:dyDescent="0.25">
      <c r="A3" s="29" t="s">
        <v>37</v>
      </c>
      <c r="B3" s="14">
        <v>1174</v>
      </c>
      <c r="C3" s="14">
        <v>1544</v>
      </c>
      <c r="D3" s="14">
        <v>1508</v>
      </c>
      <c r="E3" s="17">
        <f>E4*'Income statement'!E2</f>
        <v>4158.9207949736765</v>
      </c>
      <c r="F3" s="17">
        <f>F4*'Income statement'!F2</f>
        <v>6686.2299500932922</v>
      </c>
      <c r="G3" s="17">
        <f>G4*'Income statement'!G2</f>
        <v>10716.919149386842</v>
      </c>
    </row>
    <row r="4" spans="1:7" s="23" customFormat="1" ht="15.75" x14ac:dyDescent="0.25">
      <c r="A4" s="30" t="s">
        <v>110</v>
      </c>
      <c r="B4" s="21">
        <f>B3/'Income statement'!B2</f>
        <v>4.362042059894479E-2</v>
      </c>
      <c r="C4" s="21">
        <f>C3/'Income statement'!C2</f>
        <v>5.7240305479350488E-2</v>
      </c>
      <c r="D4" s="21">
        <f>D3/'Income statement'!D2</f>
        <v>2.4752962804898065E-2</v>
      </c>
      <c r="E4" s="21">
        <f>AVERAGE(B4:D4)</f>
        <v>4.1871229627731106E-2</v>
      </c>
      <c r="F4" s="21">
        <f t="shared" ref="F4:G4" si="0">AVERAGE(C4:E4)</f>
        <v>4.1288165970659881E-2</v>
      </c>
      <c r="G4" s="21">
        <f t="shared" si="0"/>
        <v>3.5970786134429687E-2</v>
      </c>
    </row>
    <row r="5" spans="1:7" ht="15.75" x14ac:dyDescent="0.25">
      <c r="A5" s="29" t="s">
        <v>38</v>
      </c>
      <c r="B5" s="14">
        <v>-406</v>
      </c>
      <c r="C5" s="14">
        <v>-2164</v>
      </c>
      <c r="D5" s="14">
        <v>-2489</v>
      </c>
      <c r="E5" s="17">
        <f>E6*'Income statement'!E11</f>
        <v>-7234.1782831774881</v>
      </c>
      <c r="F5" s="17">
        <f>F6*'Income statement'!F11</f>
        <v>-14572.370851246449</v>
      </c>
      <c r="G5" s="17">
        <f>G6*'Income statement'!G11</f>
        <v>-22152.110640912149</v>
      </c>
    </row>
    <row r="6" spans="1:7" s="23" customFormat="1" ht="15.75" x14ac:dyDescent="0.25">
      <c r="A6" s="30" t="s">
        <v>108</v>
      </c>
      <c r="B6" s="21">
        <f>B5/'Income statement'!B11</f>
        <v>-4.0840961673875867E-2</v>
      </c>
      <c r="C6" s="21">
        <f>C5/'Income statement'!C11</f>
        <v>-0.517579526429084</v>
      </c>
      <c r="D6" s="21">
        <f>D5/'Income statement'!D11</f>
        <v>-7.3599858063753035E-2</v>
      </c>
      <c r="E6" s="22">
        <f>AVERAGE(B6:D6)</f>
        <v>-0.21067344872223762</v>
      </c>
      <c r="F6" s="22">
        <f t="shared" ref="F6:G6" si="1">AVERAGE(C6:E6)</f>
        <v>-0.26728427773835822</v>
      </c>
      <c r="G6" s="22">
        <f t="shared" si="1"/>
        <v>-0.18385252817478295</v>
      </c>
    </row>
    <row r="7" spans="1:7" ht="15.75" x14ac:dyDescent="0.25">
      <c r="A7" s="29" t="s">
        <v>39</v>
      </c>
      <c r="B7" s="14">
        <v>1951</v>
      </c>
      <c r="C7" s="14">
        <v>4100</v>
      </c>
      <c r="D7" s="14">
        <v>3033</v>
      </c>
      <c r="E7" s="17">
        <f>E8*'Income statement'!E2</f>
        <v>9080.8663397025812</v>
      </c>
      <c r="F7" s="17">
        <f>F8*'Income statement'!F2</f>
        <v>15827.406047882483</v>
      </c>
      <c r="G7" s="17">
        <f>G8*'Income statement'!G2</f>
        <v>23729.973952637232</v>
      </c>
    </row>
    <row r="8" spans="1:7" s="23" customFormat="1" ht="15.75" x14ac:dyDescent="0.25">
      <c r="A8" s="30" t="s">
        <v>110</v>
      </c>
      <c r="B8" s="21">
        <f>B7/'Income statement'!B2</f>
        <v>7.2490153823288994E-2</v>
      </c>
      <c r="C8" s="21">
        <f>C7/'Income statement'!C2</f>
        <v>0.15199822050863795</v>
      </c>
      <c r="D8" s="21">
        <f>D7/'Income statement'!D2</f>
        <v>4.9784970946456127E-2</v>
      </c>
      <c r="E8" s="22">
        <f>AVERAGE(B8:D8)</f>
        <v>9.1424448426127694E-2</v>
      </c>
      <c r="F8" s="22">
        <f t="shared" ref="F8:G8" si="2">AVERAGE(C8:E8)</f>
        <v>9.7735879960407265E-2</v>
      </c>
      <c r="G8" s="22">
        <f t="shared" si="2"/>
        <v>7.9648433110997022E-2</v>
      </c>
    </row>
    <row r="9" spans="1:7" ht="15.75" x14ac:dyDescent="0.25">
      <c r="A9" s="29" t="s">
        <v>40</v>
      </c>
      <c r="B9" s="14">
        <v>-3363</v>
      </c>
      <c r="C9" s="14">
        <v>-2207</v>
      </c>
      <c r="D9" s="14">
        <v>-3722</v>
      </c>
      <c r="E9" s="17">
        <f>E10*'Income statement'!E2</f>
        <v>-8868.7796830234129</v>
      </c>
      <c r="F9" s="17">
        <f>F10*'Income statement'!F2</f>
        <v>-12534.376775551684</v>
      </c>
      <c r="G9" s="17">
        <f>G10*'Income statement'!G2</f>
        <v>-22621.609563952388</v>
      </c>
    </row>
    <row r="10" spans="1:7" s="23" customFormat="1" ht="15.75" x14ac:dyDescent="0.25">
      <c r="A10" s="30" t="s">
        <v>110</v>
      </c>
      <c r="B10" s="21">
        <f>B9/'Income statement'!B2</f>
        <v>-0.12495355577023111</v>
      </c>
      <c r="C10" s="21">
        <f>C9/'Income statement'!C2</f>
        <v>-8.181952991769853E-2</v>
      </c>
      <c r="D10" s="21">
        <f>D9/'Income statement'!D2</f>
        <v>-6.1094514296969896E-2</v>
      </c>
      <c r="E10" s="22">
        <f>AVERAGE(B10:D10)</f>
        <v>-8.9289199994966498E-2</v>
      </c>
      <c r="F10" s="22">
        <f t="shared" ref="F10:G10" si="3">AVERAGE(C10:E10)</f>
        <v>-7.7401081403211627E-2</v>
      </c>
      <c r="G10" s="22">
        <f t="shared" si="3"/>
        <v>-7.5928265231716016E-2</v>
      </c>
    </row>
    <row r="11" spans="1:7" s="2" customFormat="1" ht="15.75" x14ac:dyDescent="0.25">
      <c r="A11" s="31" t="s">
        <v>41</v>
      </c>
      <c r="B11" s="15">
        <v>9108</v>
      </c>
      <c r="C11" s="15">
        <v>5641</v>
      </c>
      <c r="D11" s="15">
        <v>28090</v>
      </c>
      <c r="E11" s="20">
        <f>E2+E5+E7+E9</f>
        <v>26237.102091961322</v>
      </c>
      <c r="F11" s="20">
        <f t="shared" ref="F11:G11" si="4">F2+F5+F7+F9</f>
        <v>41301.747905556978</v>
      </c>
      <c r="G11" s="20">
        <f t="shared" si="4"/>
        <v>91934.770851890833</v>
      </c>
    </row>
    <row r="12" spans="1:7" ht="15.75" x14ac:dyDescent="0.25">
      <c r="A12" s="29" t="s">
        <v>42</v>
      </c>
      <c r="B12" s="14">
        <v>-976</v>
      </c>
      <c r="C12" s="14">
        <v>-1833</v>
      </c>
      <c r="D12" s="14">
        <v>-1069</v>
      </c>
      <c r="E12" s="17">
        <f>E13*'Income statement'!E2</f>
        <v>-4031.4955303119214</v>
      </c>
      <c r="F12" s="17">
        <f>F13*'Income statement'!F2</f>
        <v>-6806.3462482699351</v>
      </c>
      <c r="G12" s="17">
        <f>G13*'Income statement'!G2</f>
        <v>-9947.5445600997191</v>
      </c>
    </row>
    <row r="13" spans="1:7" s="23" customFormat="1" ht="15.75" x14ac:dyDescent="0.25">
      <c r="A13" s="30" t="s">
        <v>110</v>
      </c>
      <c r="B13" s="21">
        <f>B12/'Income statement'!B2</f>
        <v>-3.6263654603552055E-2</v>
      </c>
      <c r="C13" s="21">
        <f>C12/'Income statement'!C2</f>
        <v>-6.7954326388373995E-2</v>
      </c>
      <c r="D13" s="21">
        <f>D12/'Income statement'!D2</f>
        <v>-1.7547027346442992E-2</v>
      </c>
      <c r="E13" s="22">
        <f>AVERAGE(B13:D13)</f>
        <v>-4.0588336112789683E-2</v>
      </c>
      <c r="F13" s="22">
        <f t="shared" ref="F13:G13" si="5">AVERAGE(C13:E13)</f>
        <v>-4.2029896615868888E-2</v>
      </c>
      <c r="G13" s="22">
        <f t="shared" si="5"/>
        <v>-3.3388420025033859E-2</v>
      </c>
    </row>
    <row r="14" spans="1:7" ht="15.75" x14ac:dyDescent="0.25">
      <c r="A14" s="29" t="s">
        <v>43</v>
      </c>
      <c r="B14" s="14">
        <v>-8854</v>
      </c>
      <c r="C14" s="14">
        <v>9208</v>
      </c>
      <c r="D14" s="14">
        <v>-9497</v>
      </c>
      <c r="E14" s="17">
        <f>E15*'Income statement'!E2</f>
        <v>-4750.9785232860559</v>
      </c>
      <c r="F14" s="17">
        <f>F15*'Income statement'!F2</f>
        <v>-7745.9350204288985</v>
      </c>
      <c r="G14" s="17">
        <f>G15*'Income statement'!G2</f>
        <v>-14250.764317032361</v>
      </c>
    </row>
    <row r="15" spans="1:7" s="23" customFormat="1" ht="15.75" x14ac:dyDescent="0.25">
      <c r="A15" s="30" t="s">
        <v>110</v>
      </c>
      <c r="B15" s="21">
        <f>B14/'Income statement'!B2</f>
        <v>-0.32897376829902653</v>
      </c>
      <c r="C15" s="21">
        <f>C14/'Income statement'!C2</f>
        <v>0.34136575962037519</v>
      </c>
      <c r="D15" s="21">
        <f>D14/'Income statement'!D2</f>
        <v>-0.15588785660352583</v>
      </c>
      <c r="E15" s="22">
        <f>AVERAGE(B15:D15)</f>
        <v>-4.7831955094059055E-2</v>
      </c>
      <c r="F15" s="22">
        <v>-4.7831955094059055E-2</v>
      </c>
      <c r="G15" s="22">
        <v>-4.7831955094059055E-2</v>
      </c>
    </row>
    <row r="16" spans="1:7" s="2" customFormat="1" ht="15.75" x14ac:dyDescent="0.25">
      <c r="A16" s="31" t="s">
        <v>44</v>
      </c>
      <c r="B16" s="15">
        <v>-9830</v>
      </c>
      <c r="C16" s="15">
        <v>7375</v>
      </c>
      <c r="D16" s="15">
        <v>-10566</v>
      </c>
      <c r="E16" s="20">
        <f>E12+E14</f>
        <v>-8782.4740535979763</v>
      </c>
      <c r="F16" s="20">
        <f t="shared" ref="F16:G16" si="6">F12+F14</f>
        <v>-14552.281268698833</v>
      </c>
      <c r="G16" s="20">
        <f t="shared" si="6"/>
        <v>-24198.30887713208</v>
      </c>
    </row>
    <row r="17" spans="1:7" ht="15.75" x14ac:dyDescent="0.25">
      <c r="A17" s="29" t="s">
        <v>45</v>
      </c>
      <c r="B17" s="14">
        <v>-1994</v>
      </c>
      <c r="C17" s="14">
        <v>-1535</v>
      </c>
      <c r="D17" s="14">
        <v>-2858</v>
      </c>
      <c r="E17" s="17">
        <f>E18*'Income statement'!E2</f>
        <v>-5890.2882637435796</v>
      </c>
      <c r="F17" s="17">
        <f>F18*'Income statement'!F2</f>
        <v>-8805.3256103105432</v>
      </c>
      <c r="G17" s="17">
        <f>G18*'Income statement'!G2</f>
        <v>-15948.262277408341</v>
      </c>
    </row>
    <row r="18" spans="1:7" s="23" customFormat="1" ht="15.75" x14ac:dyDescent="0.25">
      <c r="A18" s="30" t="s">
        <v>110</v>
      </c>
      <c r="B18" s="21">
        <f>B17/'Income statement'!B2</f>
        <v>-7.4087835327338925E-2</v>
      </c>
      <c r="C18" s="21">
        <f>C17/'Income statement'!C2</f>
        <v>-5.6906650848965672E-2</v>
      </c>
      <c r="D18" s="21">
        <f>D17/'Income statement'!D2</f>
        <v>-4.6912445422015038E-2</v>
      </c>
      <c r="E18" s="22">
        <f>AVERAGE(B18:D18)</f>
        <v>-5.9302310532773211E-2</v>
      </c>
      <c r="F18" s="22">
        <f t="shared" ref="F18:G18" si="7">AVERAGE(C18:E18)</f>
        <v>-5.4373802267917971E-2</v>
      </c>
      <c r="G18" s="22">
        <f t="shared" si="7"/>
        <v>-5.3529519407568733E-2</v>
      </c>
    </row>
    <row r="19" spans="1:7" ht="15.75" x14ac:dyDescent="0.25">
      <c r="A19" s="29" t="s">
        <v>46</v>
      </c>
      <c r="B19" s="14">
        <v>-399</v>
      </c>
      <c r="C19" s="14">
        <v>-398</v>
      </c>
      <c r="D19" s="14">
        <v>-395</v>
      </c>
      <c r="E19" s="17">
        <f>E20*'Income statement'!E15</f>
        <v>-1610.9062733485039</v>
      </c>
      <c r="F19" s="17">
        <f>F20*'Income statement'!F15</f>
        <v>-2678.5680208391323</v>
      </c>
      <c r="G19" s="17">
        <f>G20*'Income statement'!G15</f>
        <v>-4242.3217295244485</v>
      </c>
    </row>
    <row r="20" spans="1:7" s="23" customFormat="1" ht="15.75" x14ac:dyDescent="0.25">
      <c r="A20" s="30" t="s">
        <v>115</v>
      </c>
      <c r="B20" s="21">
        <f>B19/'Income statement'!B15</f>
        <v>-4.0914684167350286E-2</v>
      </c>
      <c r="C20" s="21">
        <f>C19/'Income statement'!C15</f>
        <v>-9.1117216117216113E-2</v>
      </c>
      <c r="D20" s="21">
        <f>D19/'Income statement'!D15</f>
        <v>-1.3272849462365592E-2</v>
      </c>
      <c r="E20" s="22">
        <f>AVERAGE(B20:D20)</f>
        <v>-4.8434916582310666E-2</v>
      </c>
      <c r="F20" s="22">
        <f t="shared" ref="F20:G20" si="8">AVERAGE(C20:E20)</f>
        <v>-5.0941660720630798E-2</v>
      </c>
      <c r="G20" s="22">
        <f t="shared" si="8"/>
        <v>-3.7549808921769019E-2</v>
      </c>
    </row>
    <row r="21" spans="1:7" ht="15.75" x14ac:dyDescent="0.25">
      <c r="A21" s="29" t="s">
        <v>47</v>
      </c>
      <c r="B21" s="14">
        <v>281</v>
      </c>
      <c r="C21" s="14">
        <v>-9684</v>
      </c>
      <c r="D21" s="14">
        <v>-9130</v>
      </c>
      <c r="E21" s="17">
        <v>-9130</v>
      </c>
      <c r="F21" s="17">
        <v>-9130</v>
      </c>
      <c r="G21" s="17">
        <v>-9130</v>
      </c>
    </row>
    <row r="22" spans="1:7" ht="15.75" x14ac:dyDescent="0.25">
      <c r="A22" s="29" t="s">
        <v>48</v>
      </c>
      <c r="B22" s="14">
        <v>3977</v>
      </c>
      <c r="C22" s="14">
        <v>0</v>
      </c>
      <c r="D22" s="14">
        <v>-1250</v>
      </c>
      <c r="E22" s="14">
        <v>-1250</v>
      </c>
      <c r="F22" s="14">
        <v>-1250</v>
      </c>
      <c r="G22" s="14">
        <v>-1250</v>
      </c>
    </row>
    <row r="23" spans="1:7" s="2" customFormat="1" ht="15.75" x14ac:dyDescent="0.25">
      <c r="A23" s="13" t="s">
        <v>49</v>
      </c>
      <c r="B23" s="4">
        <v>1865</v>
      </c>
      <c r="C23" s="4">
        <v>-11617</v>
      </c>
      <c r="D23" s="4">
        <v>-13633</v>
      </c>
      <c r="E23" s="20">
        <f>E17+E19+E21+E22</f>
        <v>-17881.194537092084</v>
      </c>
      <c r="F23" s="20">
        <f t="shared" ref="F23:G23" si="9">F17+F19+F21+F22</f>
        <v>-21863.893631149676</v>
      </c>
      <c r="G23" s="20">
        <f t="shared" si="9"/>
        <v>-30570.58400693279</v>
      </c>
    </row>
    <row r="24" spans="1:7" s="2" customFormat="1" ht="15.75" x14ac:dyDescent="0.25">
      <c r="A24" s="31" t="s">
        <v>50</v>
      </c>
      <c r="B24" s="15">
        <v>1143</v>
      </c>
      <c r="C24" s="15">
        <v>1399</v>
      </c>
      <c r="D24" s="15">
        <v>3891</v>
      </c>
      <c r="E24" s="20">
        <f>E11+E16+E23</f>
        <v>-426.56649872873822</v>
      </c>
      <c r="F24" s="20">
        <f t="shared" ref="F24:G24" si="10">F11+F16+F23</f>
        <v>4885.5730057084693</v>
      </c>
      <c r="G24" s="20">
        <f t="shared" si="10"/>
        <v>37165.877967825967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F67" sqref="F67"/>
    </sheetView>
  </sheetViews>
  <sheetFormatPr defaultRowHeight="15" x14ac:dyDescent="0.25"/>
  <cols>
    <col min="1" max="1" width="53.42578125" customWidth="1"/>
    <col min="2" max="2" width="13.85546875" customWidth="1"/>
    <col min="3" max="3" width="14.5703125" customWidth="1"/>
    <col min="4" max="4" width="13.42578125" customWidth="1"/>
    <col min="5" max="5" width="14.85546875" customWidth="1"/>
    <col min="6" max="6" width="10.5703125" customWidth="1"/>
    <col min="7" max="7" width="12.140625" customWidth="1"/>
  </cols>
  <sheetData>
    <row r="1" spans="1:5" ht="15.75" x14ac:dyDescent="0.25">
      <c r="A1" s="72" t="s">
        <v>99</v>
      </c>
    </row>
    <row r="2" spans="1:5" ht="15.75" x14ac:dyDescent="0.25">
      <c r="A2" s="72" t="s">
        <v>54</v>
      </c>
    </row>
    <row r="3" spans="1:5" ht="15.75" x14ac:dyDescent="0.25">
      <c r="A3" s="72" t="s">
        <v>102</v>
      </c>
    </row>
    <row r="4" spans="1:5" ht="15.75" x14ac:dyDescent="0.25">
      <c r="A4" s="60"/>
    </row>
    <row r="5" spans="1:5" ht="15.75" x14ac:dyDescent="0.25">
      <c r="A5" s="32" t="s">
        <v>55</v>
      </c>
      <c r="B5" s="33"/>
      <c r="C5" s="33"/>
      <c r="D5" s="33"/>
      <c r="E5" s="33"/>
    </row>
    <row r="6" spans="1:5" ht="15.75" x14ac:dyDescent="0.25">
      <c r="A6" s="73" t="s">
        <v>56</v>
      </c>
      <c r="B6" s="77">
        <v>45318</v>
      </c>
      <c r="C6" s="101">
        <v>45684</v>
      </c>
      <c r="D6" s="101">
        <v>46049</v>
      </c>
      <c r="E6" s="101">
        <v>46414</v>
      </c>
    </row>
    <row r="7" spans="1:5" ht="15.75" x14ac:dyDescent="0.25">
      <c r="A7" s="34" t="s">
        <v>57</v>
      </c>
      <c r="B7" s="35"/>
      <c r="C7" s="47">
        <f>'Income statement'!E2</f>
        <v>99326.454750668316</v>
      </c>
      <c r="D7" s="47">
        <f>'Income statement'!F2</f>
        <v>161940.58982529398</v>
      </c>
      <c r="E7" s="47">
        <f>'Income statement'!G2</f>
        <v>297933.97089893091</v>
      </c>
    </row>
    <row r="8" spans="1:5" ht="15.75" x14ac:dyDescent="0.25">
      <c r="A8" s="34" t="s">
        <v>93</v>
      </c>
      <c r="B8" s="35"/>
      <c r="C8" s="47">
        <f>'Income statement'!E4+'Income statement'!E7</f>
        <v>-64988.106339638165</v>
      </c>
      <c r="D8" s="47">
        <f>'Income statement'!F4+'Income statement'!F7</f>
        <v>-107420.46999426078</v>
      </c>
      <c r="E8" s="47">
        <f>'Income statement'!G4+'Income statement'!G7</f>
        <v>-177445.49646330706</v>
      </c>
    </row>
    <row r="9" spans="1:5" ht="15.75" x14ac:dyDescent="0.25">
      <c r="A9" s="36" t="s">
        <v>94</v>
      </c>
      <c r="B9" s="37"/>
      <c r="C9" s="41">
        <f>-'Cashflow statement'!E3</f>
        <v>-4158.9207949736765</v>
      </c>
      <c r="D9" s="41">
        <f>-'Cashflow statement'!F3</f>
        <v>-6686.2299500932922</v>
      </c>
      <c r="E9" s="41">
        <f>-'Cashflow statement'!G3</f>
        <v>-10716.919149386842</v>
      </c>
    </row>
    <row r="10" spans="1:5" ht="15.75" x14ac:dyDescent="0.25">
      <c r="A10" s="38" t="s">
        <v>58</v>
      </c>
      <c r="B10" s="39"/>
      <c r="C10" s="40">
        <f>SUM(C7:C9)</f>
        <v>30179.427616056473</v>
      </c>
      <c r="D10" s="40">
        <f t="shared" ref="D10:E10" si="0">SUM(D7:D9)</f>
        <v>47833.889880939903</v>
      </c>
      <c r="E10" s="40">
        <f t="shared" si="0"/>
        <v>109771.55528623701</v>
      </c>
    </row>
    <row r="11" spans="1:5" ht="15.75" x14ac:dyDescent="0.25">
      <c r="A11" s="36" t="s">
        <v>59</v>
      </c>
      <c r="B11" s="37"/>
      <c r="C11" s="41">
        <f>'Income statement'!E12</f>
        <v>-1079.1546925704963</v>
      </c>
      <c r="D11" s="41">
        <f>'Income statement'!F12</f>
        <v>-1939.0303465605712</v>
      </c>
      <c r="E11" s="41">
        <f>'Income statement'!G12</f>
        <v>-7509.9573315057205</v>
      </c>
    </row>
    <row r="12" spans="1:5" ht="15.75" x14ac:dyDescent="0.25">
      <c r="A12" s="38" t="s">
        <v>60</v>
      </c>
      <c r="B12" s="39"/>
      <c r="C12" s="40">
        <f>C10+C11</f>
        <v>29100.272923485976</v>
      </c>
      <c r="D12" s="40">
        <f t="shared" ref="D12:E12" si="1">D10+D11</f>
        <v>45894.859534379335</v>
      </c>
      <c r="E12" s="40">
        <f t="shared" si="1"/>
        <v>102261.59795473129</v>
      </c>
    </row>
    <row r="13" spans="1:5" ht="15.75" x14ac:dyDescent="0.25">
      <c r="A13" s="36" t="s">
        <v>95</v>
      </c>
      <c r="B13" s="37"/>
      <c r="C13" s="41">
        <f>-C9</f>
        <v>4158.9207949736765</v>
      </c>
      <c r="D13" s="41">
        <f t="shared" ref="D13:E13" si="2">-D9</f>
        <v>6686.2299500932922</v>
      </c>
      <c r="E13" s="41">
        <f t="shared" si="2"/>
        <v>10716.919149386842</v>
      </c>
    </row>
    <row r="14" spans="1:5" ht="16.5" thickBot="1" x14ac:dyDescent="0.3">
      <c r="A14" s="42" t="s">
        <v>61</v>
      </c>
      <c r="B14" s="43"/>
      <c r="C14" s="44">
        <f>C12+C13</f>
        <v>33259.193718459654</v>
      </c>
      <c r="D14" s="44">
        <f t="shared" ref="D14:E14" si="3">D12+D13</f>
        <v>52581.089484472628</v>
      </c>
      <c r="E14" s="44">
        <f t="shared" si="3"/>
        <v>112978.51710411813</v>
      </c>
    </row>
    <row r="15" spans="1:5" ht="16.5" thickTop="1" x14ac:dyDescent="0.25">
      <c r="A15" s="45"/>
      <c r="B15" s="45"/>
      <c r="C15" s="46"/>
      <c r="D15" s="46"/>
      <c r="E15" s="46"/>
    </row>
    <row r="16" spans="1:5" ht="15.75" x14ac:dyDescent="0.25">
      <c r="A16" s="73" t="s">
        <v>62</v>
      </c>
      <c r="B16" s="74"/>
      <c r="C16" s="75"/>
      <c r="D16" s="75"/>
      <c r="E16" s="75"/>
    </row>
    <row r="17" spans="1:5" ht="15.75" x14ac:dyDescent="0.25">
      <c r="A17" s="34" t="s">
        <v>63</v>
      </c>
      <c r="B17" s="35"/>
      <c r="C17" s="47">
        <f>'Cashflow statement'!E16</f>
        <v>-8782.4740535979763</v>
      </c>
      <c r="D17" s="47">
        <f>'Cashflow statement'!F16</f>
        <v>-14552.281268698833</v>
      </c>
      <c r="E17" s="47">
        <f>'Cashflow statement'!G16</f>
        <v>-24198.30887713208</v>
      </c>
    </row>
    <row r="18" spans="1:5" ht="15.75" x14ac:dyDescent="0.25">
      <c r="A18" s="48" t="s">
        <v>64</v>
      </c>
      <c r="B18" s="47">
        <f>'Cashflow statement'!D9</f>
        <v>-3722</v>
      </c>
      <c r="C18" s="47">
        <f>'Cashflow statement'!E9</f>
        <v>-8868.7796830234129</v>
      </c>
      <c r="D18" s="47">
        <f>'Cashflow statement'!F9</f>
        <v>-12534.376775551684</v>
      </c>
      <c r="E18" s="47">
        <f>'Cashflow statement'!G9</f>
        <v>-22621.609563952388</v>
      </c>
    </row>
    <row r="19" spans="1:5" ht="15.75" x14ac:dyDescent="0.25">
      <c r="A19" s="36" t="s">
        <v>65</v>
      </c>
      <c r="B19" s="49"/>
      <c r="C19" s="41">
        <f>C18-B18</f>
        <v>-5146.7796830234129</v>
      </c>
      <c r="D19" s="41">
        <f t="shared" ref="D19:E19" si="4">D18-C18</f>
        <v>-3665.5970925282709</v>
      </c>
      <c r="E19" s="41">
        <f t="shared" si="4"/>
        <v>-10087.232788400705</v>
      </c>
    </row>
    <row r="20" spans="1:5" ht="16.5" thickBot="1" x14ac:dyDescent="0.3">
      <c r="A20" s="42" t="s">
        <v>62</v>
      </c>
      <c r="B20" s="50"/>
      <c r="C20" s="44">
        <f>C17+C19</f>
        <v>-13929.253736621389</v>
      </c>
      <c r="D20" s="44">
        <f t="shared" ref="D20:E20" si="5">D17+D19</f>
        <v>-18217.878361227104</v>
      </c>
      <c r="E20" s="44">
        <f t="shared" si="5"/>
        <v>-34285.541665532786</v>
      </c>
    </row>
    <row r="21" spans="1:5" ht="16.5" thickTop="1" x14ac:dyDescent="0.25">
      <c r="A21" s="45"/>
      <c r="B21" s="45"/>
      <c r="C21" s="45"/>
      <c r="D21" s="45"/>
      <c r="E21" s="45"/>
    </row>
    <row r="22" spans="1:5" ht="15.75" x14ac:dyDescent="0.25">
      <c r="A22" s="73" t="s">
        <v>66</v>
      </c>
      <c r="B22" s="77">
        <v>45318</v>
      </c>
      <c r="C22" s="101">
        <v>45684</v>
      </c>
      <c r="D22" s="101">
        <v>46049</v>
      </c>
      <c r="E22" s="101">
        <v>46414</v>
      </c>
    </row>
    <row r="23" spans="1:5" ht="16.5" thickBot="1" x14ac:dyDescent="0.3">
      <c r="A23" s="42" t="s">
        <v>67</v>
      </c>
      <c r="B23" s="51"/>
      <c r="C23" s="44">
        <f>C14+C20</f>
        <v>19329.939981838266</v>
      </c>
      <c r="D23" s="44">
        <f t="shared" ref="D23:E23" si="6">D14+D20</f>
        <v>34363.211123245521</v>
      </c>
      <c r="E23" s="44">
        <f t="shared" si="6"/>
        <v>78692.975438585345</v>
      </c>
    </row>
    <row r="24" spans="1:5" ht="16.5" thickTop="1" x14ac:dyDescent="0.25">
      <c r="A24" s="45"/>
      <c r="B24" s="45"/>
      <c r="C24" s="45"/>
      <c r="D24" s="45"/>
      <c r="E24" s="45"/>
    </row>
    <row r="25" spans="1:5" ht="15.75" x14ac:dyDescent="0.25">
      <c r="A25" s="73" t="s">
        <v>68</v>
      </c>
      <c r="B25" s="74" t="s">
        <v>69</v>
      </c>
      <c r="C25" s="75"/>
      <c r="D25" s="75"/>
      <c r="E25" s="75"/>
    </row>
    <row r="26" spans="1:5" ht="15.75" x14ac:dyDescent="0.25">
      <c r="A26" s="34" t="s">
        <v>70</v>
      </c>
      <c r="B26" s="52">
        <f>'[1]P&amp;L'!C14</f>
        <v>8.2513302718857054E-2</v>
      </c>
      <c r="C26" s="45" t="s">
        <v>96</v>
      </c>
      <c r="D26" s="45"/>
      <c r="E26" s="45"/>
    </row>
    <row r="27" spans="1:5" ht="15.75" x14ac:dyDescent="0.25">
      <c r="A27" s="34" t="s">
        <v>71</v>
      </c>
      <c r="B27" s="52">
        <v>0.02</v>
      </c>
      <c r="C27" s="45" t="s">
        <v>72</v>
      </c>
      <c r="D27" s="45"/>
      <c r="E27" s="53"/>
    </row>
    <row r="28" spans="1:5" ht="15.75" x14ac:dyDescent="0.25">
      <c r="A28" s="34" t="s">
        <v>73</v>
      </c>
      <c r="B28" s="52">
        <v>6.3E-2</v>
      </c>
      <c r="C28" s="45" t="s">
        <v>72</v>
      </c>
      <c r="D28" s="45"/>
      <c r="E28" s="45"/>
    </row>
    <row r="29" spans="1:5" ht="15.75" x14ac:dyDescent="0.25">
      <c r="A29" s="34" t="s">
        <v>74</v>
      </c>
      <c r="B29" s="52">
        <v>0.15</v>
      </c>
      <c r="C29" s="45" t="s">
        <v>72</v>
      </c>
      <c r="D29" s="45"/>
      <c r="E29" s="45"/>
    </row>
    <row r="30" spans="1:5" ht="16.5" thickBot="1" x14ac:dyDescent="0.3">
      <c r="A30" s="42" t="s">
        <v>75</v>
      </c>
      <c r="B30" s="54">
        <f>B27*(1-B26)*B29+B28*(1-B29)</f>
        <v>5.6302460091843427E-2</v>
      </c>
      <c r="C30" s="45"/>
      <c r="D30" s="45"/>
      <c r="E30" s="45"/>
    </row>
    <row r="31" spans="1:5" ht="16.5" thickTop="1" x14ac:dyDescent="0.25">
      <c r="A31" s="45"/>
      <c r="B31" s="45"/>
      <c r="C31" s="45"/>
      <c r="D31" s="45"/>
      <c r="E31" s="45"/>
    </row>
    <row r="32" spans="1:5" ht="15.75" x14ac:dyDescent="0.25">
      <c r="A32" s="73" t="s">
        <v>76</v>
      </c>
      <c r="B32" s="77">
        <v>45318</v>
      </c>
      <c r="C32" s="101">
        <v>45684</v>
      </c>
      <c r="D32" s="101">
        <v>46049</v>
      </c>
      <c r="E32" s="101">
        <v>46414</v>
      </c>
    </row>
    <row r="33" spans="1:5" ht="15.75" x14ac:dyDescent="0.25">
      <c r="A33" s="34" t="s">
        <v>77</v>
      </c>
      <c r="B33" s="55"/>
      <c r="C33" s="56">
        <v>1</v>
      </c>
      <c r="D33" s="56">
        <v>2</v>
      </c>
      <c r="E33" s="56">
        <v>3</v>
      </c>
    </row>
    <row r="34" spans="1:5" ht="15.75" x14ac:dyDescent="0.25">
      <c r="A34" s="36" t="s">
        <v>78</v>
      </c>
      <c r="B34" s="57"/>
      <c r="C34" s="58">
        <f>1/(1+$B$30)^C33</f>
        <v>0.94669854306033896</v>
      </c>
      <c r="D34" s="58">
        <f t="shared" ref="D34:E34" si="7">1/(1+$B$30)^D33</f>
        <v>0.89623813143256847</v>
      </c>
      <c r="E34" s="58">
        <f t="shared" si="7"/>
        <v>0.84846733326233315</v>
      </c>
    </row>
    <row r="35" spans="1:5" ht="16.5" thickBot="1" x14ac:dyDescent="0.3">
      <c r="A35" s="42" t="s">
        <v>79</v>
      </c>
      <c r="B35" s="59"/>
      <c r="C35" s="44">
        <f>C23*C34</f>
        <v>18299.626018250081</v>
      </c>
      <c r="D35" s="44">
        <f t="shared" ref="D35:E35" si="8">D23*D34</f>
        <v>30797.620127120419</v>
      </c>
      <c r="E35" s="44">
        <f t="shared" si="8"/>
        <v>66768.419016854794</v>
      </c>
    </row>
    <row r="36" spans="1:5" ht="16.5" thickTop="1" x14ac:dyDescent="0.25">
      <c r="A36" s="45"/>
      <c r="B36" s="45"/>
      <c r="C36" s="45"/>
      <c r="D36" s="45"/>
      <c r="E36" s="45"/>
    </row>
    <row r="37" spans="1:5" ht="15.75" x14ac:dyDescent="0.25">
      <c r="A37" s="73" t="s">
        <v>80</v>
      </c>
      <c r="B37" s="77">
        <v>45318</v>
      </c>
      <c r="C37" s="101">
        <v>45684</v>
      </c>
      <c r="D37" s="101">
        <v>46049</v>
      </c>
      <c r="E37" s="101">
        <v>46414</v>
      </c>
    </row>
    <row r="38" spans="1:5" ht="15.75" x14ac:dyDescent="0.25">
      <c r="A38" s="45" t="s">
        <v>81</v>
      </c>
      <c r="B38" s="45"/>
      <c r="C38" s="45"/>
      <c r="D38" s="45"/>
      <c r="E38" s="76">
        <v>0.03</v>
      </c>
    </row>
    <row r="39" spans="1:5" ht="15.75" x14ac:dyDescent="0.25">
      <c r="A39" s="45" t="s">
        <v>82</v>
      </c>
      <c r="B39" s="45"/>
      <c r="C39" s="45"/>
      <c r="D39" s="45"/>
      <c r="E39" s="46">
        <f>E23*(1+E38)/(B30-E38)</f>
        <v>3081603.9419399495</v>
      </c>
    </row>
    <row r="40" spans="1:5" ht="15.75" x14ac:dyDescent="0.25">
      <c r="A40" s="60" t="s">
        <v>83</v>
      </c>
      <c r="B40" s="60"/>
      <c r="C40" s="60"/>
      <c r="D40" s="60"/>
      <c r="E40" s="61">
        <f>E39*E34</f>
        <v>2614640.2787884828</v>
      </c>
    </row>
    <row r="41" spans="1:5" ht="15.75" x14ac:dyDescent="0.25">
      <c r="A41" s="45"/>
      <c r="B41" s="45"/>
      <c r="C41" s="45"/>
      <c r="D41" s="45"/>
      <c r="E41" s="45"/>
    </row>
    <row r="42" spans="1:5" ht="15.75" x14ac:dyDescent="0.25">
      <c r="A42" s="73" t="s">
        <v>84</v>
      </c>
      <c r="B42" s="77">
        <v>45318</v>
      </c>
      <c r="C42" s="75"/>
      <c r="D42" s="75"/>
      <c r="E42" s="75"/>
    </row>
    <row r="43" spans="1:5" ht="15.75" x14ac:dyDescent="0.25">
      <c r="A43" s="38" t="s">
        <v>104</v>
      </c>
      <c r="B43" s="62">
        <f>C35+D35+E35+E40</f>
        <v>2730505.943950708</v>
      </c>
      <c r="C43" s="45"/>
      <c r="D43" s="45"/>
      <c r="E43" s="45"/>
    </row>
    <row r="44" spans="1:5" ht="15.75" x14ac:dyDescent="0.25">
      <c r="A44" s="34" t="s">
        <v>85</v>
      </c>
      <c r="B44" s="62">
        <f>'Balance statement'!D18+'Balance statement'!D20+'Balance statement'!D23</f>
        <v>9381</v>
      </c>
      <c r="C44" s="45"/>
      <c r="D44" s="45"/>
      <c r="E44" s="45"/>
    </row>
    <row r="45" spans="1:5" ht="15.75" x14ac:dyDescent="0.25">
      <c r="A45" s="34" t="s">
        <v>86</v>
      </c>
      <c r="B45" s="62">
        <f>'Balance statement'!D25</f>
        <v>9709</v>
      </c>
      <c r="C45" s="45"/>
      <c r="D45" s="45"/>
      <c r="E45" s="45"/>
    </row>
    <row r="46" spans="1:5" ht="15.75" x14ac:dyDescent="0.25">
      <c r="A46" s="34" t="s">
        <v>87</v>
      </c>
      <c r="B46" s="62">
        <f>'Balance statement'!D29</f>
        <v>3198</v>
      </c>
      <c r="C46" s="45"/>
      <c r="D46" s="45"/>
      <c r="E46" s="45"/>
    </row>
    <row r="47" spans="1:5" ht="15.75" x14ac:dyDescent="0.25">
      <c r="A47" s="34" t="s">
        <v>88</v>
      </c>
      <c r="B47" s="62">
        <f>'Balance statement'!D2</f>
        <v>7280</v>
      </c>
      <c r="C47" s="45"/>
      <c r="D47" s="45"/>
      <c r="E47" s="45"/>
    </row>
    <row r="48" spans="1:5" ht="15.75" x14ac:dyDescent="0.25">
      <c r="A48" s="36" t="s">
        <v>89</v>
      </c>
      <c r="B48" s="63">
        <f>'Balance statement'!D11+'Balance statement'!D13+'Balance statement'!D14+'Balance statement'!D15</f>
        <v>21383</v>
      </c>
      <c r="C48" s="45"/>
      <c r="D48" s="45"/>
      <c r="E48" s="45"/>
    </row>
    <row r="49" spans="1:5" ht="15.75" x14ac:dyDescent="0.25">
      <c r="A49" s="64" t="s">
        <v>90</v>
      </c>
      <c r="B49" s="65">
        <f>B43-B44-B45-B46+B47+B48</f>
        <v>2736880.943950708</v>
      </c>
      <c r="C49" s="45"/>
      <c r="D49" s="60"/>
      <c r="E49" s="45"/>
    </row>
    <row r="50" spans="1:5" ht="15.75" x14ac:dyDescent="0.25">
      <c r="A50" s="66" t="s">
        <v>91</v>
      </c>
      <c r="B50" s="67">
        <v>0</v>
      </c>
      <c r="C50" s="45"/>
      <c r="D50" s="45"/>
      <c r="E50" s="45"/>
    </row>
    <row r="51" spans="1:5" ht="15.75" x14ac:dyDescent="0.25">
      <c r="A51" s="64" t="s">
        <v>100</v>
      </c>
      <c r="B51" s="65">
        <f>B49-B50</f>
        <v>2736880.943950708</v>
      </c>
      <c r="C51" s="45"/>
      <c r="D51" s="45"/>
      <c r="E51" s="45"/>
    </row>
    <row r="52" spans="1:5" ht="15.75" x14ac:dyDescent="0.25">
      <c r="A52" s="66" t="s">
        <v>97</v>
      </c>
      <c r="B52" s="68">
        <f>'Balance statement'!D44</f>
        <v>24640</v>
      </c>
      <c r="C52" s="45"/>
      <c r="D52" s="45"/>
      <c r="E52" s="45"/>
    </row>
    <row r="53" spans="1:5" ht="15.75" x14ac:dyDescent="0.25">
      <c r="A53" s="64" t="s">
        <v>101</v>
      </c>
      <c r="B53" s="65">
        <f>B51/B52</f>
        <v>111.07471363436315</v>
      </c>
      <c r="C53" s="45"/>
      <c r="D53" s="45"/>
      <c r="E53" s="45"/>
    </row>
    <row r="54" spans="1:5" ht="15.75" x14ac:dyDescent="0.25">
      <c r="A54" s="66" t="s">
        <v>103</v>
      </c>
      <c r="B54" s="69">
        <v>124.92</v>
      </c>
      <c r="C54" s="45"/>
      <c r="D54" s="45"/>
      <c r="E54" s="45"/>
    </row>
    <row r="55" spans="1:5" ht="15.75" x14ac:dyDescent="0.25">
      <c r="A55" s="64" t="s">
        <v>92</v>
      </c>
      <c r="B55" s="70">
        <f>(B53-B54)/B53</f>
        <v>-0.12464840927893728</v>
      </c>
      <c r="C55" s="45"/>
      <c r="D55" s="45"/>
      <c r="E55" s="45"/>
    </row>
    <row r="56" spans="1:5" ht="15.75" x14ac:dyDescent="0.25">
      <c r="A56" s="71" t="s">
        <v>98</v>
      </c>
      <c r="B56" s="45"/>
      <c r="C56" s="45"/>
      <c r="D56" s="45"/>
      <c r="E56" s="45"/>
    </row>
    <row r="59" spans="1:5" x14ac:dyDescent="0.25">
      <c r="A59" s="2" t="s">
        <v>116</v>
      </c>
      <c r="B59" s="90">
        <f>B53</f>
        <v>111.07471363436315</v>
      </c>
      <c r="C59" s="93">
        <v>0.02</v>
      </c>
      <c r="D59" s="94">
        <v>0.03</v>
      </c>
      <c r="E59" s="95">
        <v>0.04</v>
      </c>
    </row>
    <row r="60" spans="1:5" x14ac:dyDescent="0.25">
      <c r="B60" s="91">
        <v>5.0999999999999997E-2</v>
      </c>
      <c r="C60" s="88">
        <f t="dataTable" ref="C60:E62" dt2D="1" dtr="1" r1="E38" r2="B30"/>
        <v>95.534727198492362</v>
      </c>
      <c r="D60" s="88">
        <v>139.94759759824078</v>
      </c>
      <c r="E60" s="88">
        <v>265.11114145207739</v>
      </c>
    </row>
    <row r="61" spans="1:5" x14ac:dyDescent="0.25">
      <c r="B61" s="91">
        <v>5.6000000000000001E-2</v>
      </c>
      <c r="C61" s="88">
        <v>81.806769640377638</v>
      </c>
      <c r="D61" s="89">
        <v>112.40466661428087</v>
      </c>
      <c r="E61" s="88">
        <v>181.2499348055631</v>
      </c>
    </row>
    <row r="62" spans="1:5" x14ac:dyDescent="0.25">
      <c r="B62" s="92">
        <v>6.0999999999999999E-2</v>
      </c>
      <c r="C62" s="88">
        <v>71.432921208476287</v>
      </c>
      <c r="D62" s="88">
        <v>93.754193469847863</v>
      </c>
      <c r="E62" s="88">
        <v>137.33382026585906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NVIDIA Corp Valuation</vt:lpstr>
      <vt:lpstr>Introduction</vt:lpstr>
      <vt:lpstr>Income statement</vt:lpstr>
      <vt:lpstr>Balance statement</vt:lpstr>
      <vt:lpstr>Cashflow statement</vt:lpstr>
      <vt:lpstr>Equity Valuation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2024-10-04T18:11:59Z</dcterms:created>
  <dcterms:modified xsi:type="dcterms:W3CDTF">2024-10-07T11:13:40Z</dcterms:modified>
</cp:coreProperties>
</file>