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2"/>
  </bookViews>
  <sheets>
    <sheet name="DCF Equity Valuatin Of Walmart " sheetId="6" r:id="rId1"/>
    <sheet name="Introduction" sheetId="5" r:id="rId2"/>
    <sheet name="Walmart Inc Financials" sheetId="4" r:id="rId3"/>
    <sheet name="Walmart Inc Equity Valuation" sheetId="3" r:id="rId4"/>
  </sheets>
  <calcPr calcId="152511"/>
</workbook>
</file>

<file path=xl/calcChain.xml><?xml version="1.0" encoding="utf-8"?>
<calcChain xmlns="http://schemas.openxmlformats.org/spreadsheetml/2006/main">
  <c r="B28" i="3" l="1"/>
  <c r="B24" i="3"/>
  <c r="B50" i="3"/>
  <c r="B48" i="3"/>
  <c r="B46" i="3"/>
  <c r="B45" i="3"/>
  <c r="B44" i="3"/>
  <c r="B43" i="3"/>
  <c r="B42" i="3"/>
  <c r="E7" i="3"/>
  <c r="D7" i="3"/>
  <c r="C7" i="3"/>
  <c r="E16" i="3"/>
  <c r="D16" i="3"/>
  <c r="C16" i="3"/>
  <c r="B16" i="3"/>
  <c r="E15" i="3"/>
  <c r="D15" i="3"/>
  <c r="C15" i="3"/>
  <c r="E11" i="3"/>
  <c r="D11" i="3"/>
  <c r="C11" i="3"/>
  <c r="E9" i="3"/>
  <c r="D9" i="3"/>
  <c r="C9" i="3"/>
  <c r="E6" i="3"/>
  <c r="D6" i="3"/>
  <c r="C6" i="3"/>
  <c r="G36" i="4"/>
  <c r="F36" i="4"/>
  <c r="E36" i="4"/>
  <c r="F26" i="4"/>
  <c r="G26" i="4" s="1"/>
  <c r="E26" i="4"/>
  <c r="E98" i="4"/>
  <c r="F98" i="4" s="1"/>
  <c r="D98" i="4"/>
  <c r="C98" i="4"/>
  <c r="B98" i="4"/>
  <c r="D95" i="4"/>
  <c r="C95" i="4"/>
  <c r="B95" i="4"/>
  <c r="D93" i="4"/>
  <c r="E93" i="4" s="1"/>
  <c r="C93" i="4"/>
  <c r="B93" i="4"/>
  <c r="D91" i="4"/>
  <c r="E91" i="4" s="1"/>
  <c r="C91" i="4"/>
  <c r="B91" i="4"/>
  <c r="D89" i="4"/>
  <c r="C89" i="4"/>
  <c r="B89" i="4"/>
  <c r="D86" i="4"/>
  <c r="C86" i="4"/>
  <c r="B86" i="4"/>
  <c r="D79" i="4"/>
  <c r="C79" i="4"/>
  <c r="B79" i="4"/>
  <c r="E79" i="4" s="1"/>
  <c r="D77" i="4"/>
  <c r="C77" i="4"/>
  <c r="B77" i="4"/>
  <c r="E77" i="4" s="1"/>
  <c r="F79" i="4" l="1"/>
  <c r="F77" i="4"/>
  <c r="G98" i="4"/>
  <c r="E89" i="4"/>
  <c r="F89" i="4" s="1"/>
  <c r="E95" i="4"/>
  <c r="E86" i="4"/>
  <c r="F91" i="4"/>
  <c r="F93" i="4"/>
  <c r="E81" i="4"/>
  <c r="F81" i="4" s="1"/>
  <c r="G81" i="4" s="1"/>
  <c r="D81" i="4"/>
  <c r="C81" i="4"/>
  <c r="B81" i="4"/>
  <c r="D58" i="4"/>
  <c r="C58" i="4"/>
  <c r="E58" i="4" s="1"/>
  <c r="F58" i="4" s="1"/>
  <c r="G58" i="4" s="1"/>
  <c r="B58" i="4"/>
  <c r="D64" i="4"/>
  <c r="C64" i="4"/>
  <c r="B64" i="4"/>
  <c r="D62" i="4"/>
  <c r="C62" i="4"/>
  <c r="B62" i="4"/>
  <c r="E60" i="4"/>
  <c r="D60" i="4"/>
  <c r="C60" i="4"/>
  <c r="F60" i="4" s="1"/>
  <c r="G60" i="4" s="1"/>
  <c r="B60" i="4"/>
  <c r="D55" i="4"/>
  <c r="C55" i="4"/>
  <c r="B55" i="4"/>
  <c r="D53" i="4"/>
  <c r="C53" i="4"/>
  <c r="B53" i="4"/>
  <c r="D51" i="4"/>
  <c r="C51" i="4"/>
  <c r="B51" i="4"/>
  <c r="E51" i="4" s="1"/>
  <c r="D49" i="4"/>
  <c r="C49" i="4"/>
  <c r="B49" i="4"/>
  <c r="E49" i="4" s="1"/>
  <c r="D47" i="4"/>
  <c r="C47" i="4"/>
  <c r="B47" i="4"/>
  <c r="D45" i="4"/>
  <c r="C45" i="4"/>
  <c r="B45" i="4"/>
  <c r="D43" i="4"/>
  <c r="C43" i="4"/>
  <c r="B43" i="4"/>
  <c r="E43" i="4" s="1"/>
  <c r="D41" i="4"/>
  <c r="C41" i="4"/>
  <c r="B41" i="4"/>
  <c r="E41" i="4" s="1"/>
  <c r="D34" i="4"/>
  <c r="C34" i="4"/>
  <c r="D84" i="4"/>
  <c r="C84" i="4"/>
  <c r="B84" i="4"/>
  <c r="D75" i="4"/>
  <c r="C75" i="4"/>
  <c r="B75" i="4"/>
  <c r="D38" i="4"/>
  <c r="C38" i="4"/>
  <c r="B38" i="4"/>
  <c r="D36" i="4"/>
  <c r="C36" i="4"/>
  <c r="B36" i="4"/>
  <c r="D32" i="4"/>
  <c r="C32" i="4"/>
  <c r="B32" i="4"/>
  <c r="D28" i="4"/>
  <c r="C28" i="4"/>
  <c r="B28" i="4"/>
  <c r="E28" i="4" s="1"/>
  <c r="D29" i="4"/>
  <c r="D30" i="4" s="1"/>
  <c r="C29" i="4"/>
  <c r="C30" i="4" s="1"/>
  <c r="B29" i="4"/>
  <c r="B30" i="4" s="1"/>
  <c r="D22" i="4"/>
  <c r="C22" i="4"/>
  <c r="D20" i="4"/>
  <c r="C20" i="4"/>
  <c r="B20" i="4"/>
  <c r="D17" i="4"/>
  <c r="C17" i="4"/>
  <c r="B17" i="4"/>
  <c r="D14" i="4"/>
  <c r="C14" i="4"/>
  <c r="B14" i="4"/>
  <c r="D12" i="4"/>
  <c r="C12" i="4"/>
  <c r="B12" i="4"/>
  <c r="D9" i="4"/>
  <c r="C9" i="4"/>
  <c r="B9" i="4"/>
  <c r="D6" i="4"/>
  <c r="C6" i="4"/>
  <c r="B6" i="4"/>
  <c r="D4" i="4"/>
  <c r="C4" i="4"/>
  <c r="G89" i="4" l="1"/>
  <c r="F43" i="4"/>
  <c r="F51" i="4"/>
  <c r="G77" i="4"/>
  <c r="E47" i="4"/>
  <c r="E55" i="4"/>
  <c r="F55" i="4" s="1"/>
  <c r="E62" i="4"/>
  <c r="E64" i="4"/>
  <c r="G93" i="4"/>
  <c r="G91" i="4"/>
  <c r="G79" i="4"/>
  <c r="E17" i="4"/>
  <c r="E45" i="4"/>
  <c r="F45" i="4" s="1"/>
  <c r="E53" i="4"/>
  <c r="F95" i="4"/>
  <c r="F86" i="4"/>
  <c r="G43" i="4"/>
  <c r="G51" i="4"/>
  <c r="F41" i="4"/>
  <c r="F49" i="4"/>
  <c r="F47" i="4"/>
  <c r="F53" i="4"/>
  <c r="E14" i="4"/>
  <c r="E75" i="4"/>
  <c r="E84" i="4"/>
  <c r="F84" i="4" s="1"/>
  <c r="E4" i="4"/>
  <c r="E3" i="4" s="1"/>
  <c r="E32" i="4"/>
  <c r="E38" i="4"/>
  <c r="F32" i="4"/>
  <c r="E30" i="4"/>
  <c r="F30" i="4" s="1"/>
  <c r="F28" i="4"/>
  <c r="E9" i="4"/>
  <c r="F9" i="4" s="1"/>
  <c r="F75" i="4"/>
  <c r="E12" i="4"/>
  <c r="F12" i="4" s="1"/>
  <c r="E20" i="4"/>
  <c r="F20" i="4" s="1"/>
  <c r="G20" i="4" s="1"/>
  <c r="F14" i="4"/>
  <c r="F17" i="4"/>
  <c r="E6" i="4"/>
  <c r="F6" i="4" s="1"/>
  <c r="E46" i="4" l="1"/>
  <c r="E92" i="4"/>
  <c r="E97" i="4"/>
  <c r="E78" i="4"/>
  <c r="E90" i="4"/>
  <c r="E76" i="4"/>
  <c r="E80" i="4"/>
  <c r="G86" i="4"/>
  <c r="G95" i="4"/>
  <c r="F64" i="4"/>
  <c r="E94" i="4"/>
  <c r="F62" i="4"/>
  <c r="G9" i="4"/>
  <c r="E88" i="4"/>
  <c r="E96" i="4" s="1"/>
  <c r="E85" i="4"/>
  <c r="G45" i="4"/>
  <c r="E44" i="4"/>
  <c r="G41" i="4"/>
  <c r="E37" i="4"/>
  <c r="E35" i="4"/>
  <c r="G53" i="4"/>
  <c r="G47" i="4"/>
  <c r="G55" i="4"/>
  <c r="G49" i="4"/>
  <c r="F4" i="4"/>
  <c r="G4" i="4" s="1"/>
  <c r="E83" i="4"/>
  <c r="E27" i="4"/>
  <c r="E8" i="4"/>
  <c r="F38" i="4"/>
  <c r="E74" i="4"/>
  <c r="G38" i="4"/>
  <c r="G30" i="4"/>
  <c r="G28" i="4"/>
  <c r="G84" i="4"/>
  <c r="G32" i="4"/>
  <c r="E5" i="4"/>
  <c r="E29" i="4" s="1"/>
  <c r="G75" i="4"/>
  <c r="G17" i="4"/>
  <c r="G14" i="4"/>
  <c r="G12" i="4"/>
  <c r="G6" i="4"/>
  <c r="G62" i="4" l="1"/>
  <c r="G85" i="4"/>
  <c r="E87" i="4"/>
  <c r="G64" i="4"/>
  <c r="E40" i="4"/>
  <c r="E42" i="4"/>
  <c r="F3" i="4"/>
  <c r="E33" i="4"/>
  <c r="E34" i="4" s="1"/>
  <c r="E7" i="4"/>
  <c r="E10" i="4" s="1"/>
  <c r="E31" i="4"/>
  <c r="F35" i="4"/>
  <c r="F37" i="4"/>
  <c r="F83" i="4"/>
  <c r="G3" i="4"/>
  <c r="F8" i="4"/>
  <c r="G83" i="4" l="1"/>
  <c r="G87" i="4" s="1"/>
  <c r="G97" i="4"/>
  <c r="G80" i="4"/>
  <c r="G90" i="4"/>
  <c r="G92" i="4"/>
  <c r="G88" i="4"/>
  <c r="G96" i="4" s="1"/>
  <c r="G78" i="4"/>
  <c r="G76" i="4"/>
  <c r="F97" i="4"/>
  <c r="F80" i="4"/>
  <c r="F78" i="4"/>
  <c r="F88" i="4"/>
  <c r="F76" i="4"/>
  <c r="F92" i="4"/>
  <c r="F90" i="4"/>
  <c r="F85" i="4"/>
  <c r="F87" i="4" s="1"/>
  <c r="F94" i="4"/>
  <c r="F5" i="4"/>
  <c r="F40" i="4" s="1"/>
  <c r="G94" i="4"/>
  <c r="G46" i="4"/>
  <c r="F42" i="4"/>
  <c r="E39" i="4"/>
  <c r="G27" i="4"/>
  <c r="G35" i="4"/>
  <c r="G44" i="4"/>
  <c r="F27" i="4"/>
  <c r="F74" i="4"/>
  <c r="F33" i="4" s="1"/>
  <c r="F34" i="4" s="1"/>
  <c r="F46" i="4"/>
  <c r="F44" i="4"/>
  <c r="E13" i="4"/>
  <c r="E11" i="4"/>
  <c r="E15" i="4" s="1"/>
  <c r="E16" i="4" s="1"/>
  <c r="E18" i="4" s="1"/>
  <c r="E19" i="4" s="1"/>
  <c r="E21" i="4" s="1"/>
  <c r="G37" i="4"/>
  <c r="G74" i="4"/>
  <c r="G8" i="4"/>
  <c r="G5" i="4"/>
  <c r="E32" i="3"/>
  <c r="D32" i="3"/>
  <c r="C32" i="3"/>
  <c r="E22" i="4" l="1"/>
  <c r="E73" i="4"/>
  <c r="E82" i="4" s="1"/>
  <c r="E99" i="4" s="1"/>
  <c r="F29" i="4"/>
  <c r="F7" i="4"/>
  <c r="F10" i="4" s="1"/>
  <c r="F13" i="4" s="1"/>
  <c r="E59" i="4"/>
  <c r="E57" i="4"/>
  <c r="E63" i="4"/>
  <c r="E61" i="4"/>
  <c r="F31" i="4"/>
  <c r="F96" i="4"/>
  <c r="G42" i="4"/>
  <c r="G40" i="4"/>
  <c r="G33" i="4"/>
  <c r="G34" i="4" s="1"/>
  <c r="F39" i="4"/>
  <c r="E52" i="4"/>
  <c r="E54" i="4"/>
  <c r="E50" i="4"/>
  <c r="E48" i="4"/>
  <c r="G31" i="4"/>
  <c r="G29" i="4"/>
  <c r="G39" i="4" s="1"/>
  <c r="G7" i="4"/>
  <c r="G10" i="4"/>
  <c r="G13" i="4" s="1"/>
  <c r="F11" i="4"/>
  <c r="G59" i="4" l="1"/>
  <c r="G57" i="4"/>
  <c r="G61" i="4"/>
  <c r="G63" i="4"/>
  <c r="E65" i="4"/>
  <c r="F57" i="4"/>
  <c r="F59" i="4"/>
  <c r="F61" i="4"/>
  <c r="F63" i="4"/>
  <c r="G50" i="4"/>
  <c r="G52" i="4"/>
  <c r="G54" i="4"/>
  <c r="G48" i="4"/>
  <c r="G11" i="4"/>
  <c r="F50" i="4"/>
  <c r="F52" i="4"/>
  <c r="F54" i="4"/>
  <c r="F48" i="4"/>
  <c r="E56" i="4"/>
  <c r="F15" i="4"/>
  <c r="G15" i="4"/>
  <c r="G16" i="4" s="1"/>
  <c r="G18" i="4" s="1"/>
  <c r="F16" i="4"/>
  <c r="F18" i="4" s="1"/>
  <c r="G56" i="4" l="1"/>
  <c r="E66" i="4"/>
  <c r="E67" i="4"/>
  <c r="F65" i="4"/>
  <c r="G65" i="4"/>
  <c r="F56" i="4"/>
  <c r="F19" i="4"/>
  <c r="F21" i="4" s="1"/>
  <c r="G19" i="4"/>
  <c r="G21" i="4" s="1"/>
  <c r="G73" i="4" s="1"/>
  <c r="G82" i="4" s="1"/>
  <c r="G99" i="4" s="1"/>
  <c r="G66" i="4" l="1"/>
  <c r="F66" i="4"/>
  <c r="F22" i="4"/>
  <c r="F73" i="4"/>
  <c r="F82" i="4" s="1"/>
  <c r="F99" i="4" s="1"/>
  <c r="G22" i="4"/>
  <c r="G67" i="4" l="1"/>
  <c r="F67" i="4"/>
  <c r="C8" i="3" l="1"/>
  <c r="C17" i="3" l="1"/>
  <c r="C18" i="3" s="1"/>
  <c r="D8" i="3" l="1"/>
  <c r="D17" i="3"/>
  <c r="D18" i="3" s="1"/>
  <c r="E8" i="3" l="1"/>
  <c r="C10" i="3"/>
  <c r="C12" i="3" s="1"/>
  <c r="C21" i="3" s="1"/>
  <c r="C33" i="3" s="1"/>
  <c r="E17" i="3"/>
  <c r="E18" i="3" s="1"/>
  <c r="D10" i="3" l="1"/>
  <c r="D12" i="3" s="1"/>
  <c r="D21" i="3" s="1"/>
  <c r="D33" i="3" s="1"/>
  <c r="E10" i="3" l="1"/>
  <c r="E12" i="3" s="1"/>
  <c r="E21" i="3" s="1"/>
  <c r="E37" i="3" l="1"/>
  <c r="E38" i="3" s="1"/>
  <c r="E33" i="3"/>
  <c r="B41" i="3" l="1"/>
  <c r="B47" i="3" l="1"/>
  <c r="B49" i="3" s="1"/>
  <c r="B51" i="3" s="1"/>
  <c r="B53" i="3" l="1"/>
  <c r="C57" i="3"/>
</calcChain>
</file>

<file path=xl/sharedStrings.xml><?xml version="1.0" encoding="utf-8"?>
<sst xmlns="http://schemas.openxmlformats.org/spreadsheetml/2006/main" count="168" uniqueCount="143">
  <si>
    <t xml:space="preserve">       Consolidated Statements of Income - USD ($) shares in Millions, $ in Millions</t>
  </si>
  <si>
    <t>Consolidated Balance Sheets - USD ($) $ in Millions</t>
  </si>
  <si>
    <t xml:space="preserve">                         Consolidated Statements of Cash Flows - USD ($) $ in Millions</t>
  </si>
  <si>
    <t>As % of Revenue</t>
  </si>
  <si>
    <t>As % of Operating Income</t>
  </si>
  <si>
    <t>DISCOUNTED CASH FLOW TECHNIQUE OF VALUATION</t>
  </si>
  <si>
    <t>Free cash flow to firm calculation (FCFF)</t>
  </si>
  <si>
    <t>Operating cash profit calculation</t>
  </si>
  <si>
    <t>Revenues</t>
  </si>
  <si>
    <t>Less: Operating expenses (COGS + SGA)</t>
  </si>
  <si>
    <t>Earnings before interest and tax (EBIT)</t>
  </si>
  <si>
    <t>Less: Operating taxes</t>
  </si>
  <si>
    <t>Post tax operating profit (NOPLAT)</t>
  </si>
  <si>
    <t>Add: Depreciation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</si>
  <si>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</si>
  <si>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</si>
  <si>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</si>
  <si>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</si>
  <si>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</si>
  <si>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</si>
  <si>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</si>
  <si>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</si>
  <si>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</si>
  <si>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</si>
  <si>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</si>
  <si>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</si>
  <si>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</si>
  <si>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</si>
  <si>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</si>
  <si>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</si>
  <si>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</si>
  <si>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</si>
  <si>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</si>
  <si>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</si>
  <si>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growth rate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</si>
  <si>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</si>
  <si>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</si>
  <si>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</si>
  <si>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</si>
  <si>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</si>
  <si>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</si>
  <si>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</si>
  <si>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</si>
  <si>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</si>
  <si>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</si>
  <si>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Total common shares outstanding (Mn)</t>
  </si>
  <si>
    <t>Margin of safety</t>
  </si>
  <si>
    <t>Walmart Inc</t>
  </si>
  <si>
    <t>Walmart Inc share price at Dec., 2023(USD)</t>
  </si>
  <si>
    <t>Walmart Inc equity value per share (USD)</t>
  </si>
  <si>
    <t>Walmart Inc equity value</t>
  </si>
  <si>
    <t>Enterprise value (EV) for Walmat Inc</t>
  </si>
  <si>
    <t>(Millions, $ in Millions)</t>
  </si>
  <si>
    <t>Revenue</t>
  </si>
  <si>
    <t>Cost of Revenue, Total</t>
  </si>
  <si>
    <t>Gross Profit</t>
  </si>
  <si>
    <t>Selling/General/Admin. Expenses, Total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</si>
  <si>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</si>
  <si>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</si>
  <si>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</si>
  <si>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</si>
  <si>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</si>
  <si>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</si>
  <si>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</t>
  </si>
  <si>
    <t>Minority Interest</t>
  </si>
  <si>
    <t>Cash and Short Term Investments</t>
  </si>
  <si>
    <t>Accounts Receivable - Trade, Net</t>
  </si>
  <si>
    <t>Total Inventory</t>
  </si>
  <si>
    <t>Prepaid Expenses</t>
  </si>
  <si>
    <t>Property/Plant/Equipment, Total - Net</t>
  </si>
  <si>
    <t>Goodwill, Net</t>
  </si>
  <si>
    <t>Other Long Term Assets, Total</t>
  </si>
  <si>
    <t>Total Assets</t>
  </si>
  <si>
    <t>Accounts Payable</t>
  </si>
  <si>
    <t>Accrued Expenses</t>
  </si>
  <si>
    <t>Current Port. of LT Debt/Capital Leases</t>
  </si>
  <si>
    <t>Other Current liabilities, Total</t>
  </si>
  <si>
    <t>Capital Lease Obligations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</si>
  <si>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</si>
  <si>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</si>
  <si>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</si>
  <si>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</si>
  <si>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</si>
  <si>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</si>
  <si>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</si>
  <si>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Other Equity, Total</t>
  </si>
  <si>
    <t>Total Equity</t>
  </si>
  <si>
    <t>Total Liabilities &amp; Shareholders' Equity</t>
  </si>
  <si>
    <t>Total Common Shares Outstanding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</si>
  <si>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</si>
  <si>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</si>
  <si>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</si>
  <si>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</si>
  <si>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</si>
  <si>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</si>
  <si>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</si>
  <si>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</si>
  <si>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</si>
  <si>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</si>
  <si>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</si>
  <si>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</si>
  <si>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</si>
  <si>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</si>
  <si>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</si>
  <si>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</si>
  <si>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Extra Items</t>
  </si>
  <si>
    <t>As % of Net Income Before Taxes</t>
  </si>
  <si>
    <t>As % of Net Income After Taxes</t>
  </si>
  <si>
    <t>Y-on-Y growth rate</t>
  </si>
  <si>
    <t>Walmart Inc shares is Overpriced</t>
  </si>
  <si>
    <t>Avearge tax rate of past three years</t>
  </si>
  <si>
    <t>Sensitivity Analysis</t>
  </si>
  <si>
    <t>WACC</t>
  </si>
  <si>
    <t>Terminal Growth Rate</t>
  </si>
  <si>
    <t>FORCASTED</t>
  </si>
  <si>
    <t>HISTORICAL</t>
  </si>
  <si>
    <t>Company</t>
  </si>
  <si>
    <t>Common Shares outstanding</t>
  </si>
  <si>
    <t>Currency</t>
  </si>
  <si>
    <t>Dollar</t>
  </si>
  <si>
    <t>Reporting units</t>
  </si>
  <si>
    <t>000000s</t>
  </si>
  <si>
    <t>Domestic country</t>
  </si>
  <si>
    <t>USA</t>
  </si>
  <si>
    <t>Method of Forcast</t>
  </si>
  <si>
    <t>Three years Moving Average</t>
  </si>
  <si>
    <t>USA GDP growth rate of 3%</t>
  </si>
  <si>
    <t xml:space="preserve">Sensitivity Analysis </t>
  </si>
  <si>
    <t>Terminal Growth Rate VS WACC</t>
  </si>
  <si>
    <t>Jan. 30, 2024</t>
  </si>
  <si>
    <t>Jan. 30, 2025</t>
  </si>
  <si>
    <t>Jan. 30, 2026</t>
  </si>
  <si>
    <t>Jan. 30, 2027</t>
  </si>
  <si>
    <t>Jan. 30, 2025 - Jan 30, 2027</t>
  </si>
  <si>
    <t>Jan. 30, 2022 - Jan 30, 2024</t>
  </si>
  <si>
    <t>Walmart Inc share price at Jan 30,2024</t>
  </si>
  <si>
    <t>Forcasted Financial Years</t>
  </si>
  <si>
    <t>Historical Financial  Years</t>
  </si>
  <si>
    <t>Hence, Walmart Inc shares is Overvalued</t>
  </si>
  <si>
    <t xml:space="preserve">Walmart Inc equity value per share </t>
  </si>
  <si>
    <t>DCF Equity Valuation Of Walmart Inc.</t>
  </si>
  <si>
    <t>By</t>
  </si>
  <si>
    <t>Ezeji Emmanuel Ifeanyi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</si>
</sst>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43" fontId="0" fillId="0" borderId="0" xfId="0" applyNumberFormat="1"/>
    <xf numFmtId="164" fontId="2" fillId="0" borderId="0" xfId="0" applyNumberFormat="1" applyFont="1"/>
    <xf numFmtId="9" fontId="0" fillId="0" borderId="0" xfId="2" applyFont="1"/>
    <xf numFmtId="0" fontId="4" fillId="2" borderId="0" xfId="0" applyFont="1" applyFill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 applyAlignment="1">
      <alignment horizontal="left" vertical="center"/>
    </xf>
    <xf numFmtId="15" fontId="6" fillId="2" borderId="0" xfId="0" applyNumberFormat="1" applyFont="1" applyFill="1" applyAlignment="1">
      <alignment horizontal="left" vertical="center"/>
    </xf>
    <xf numFmtId="0" fontId="7" fillId="0" borderId="1" xfId="0" applyFont="1" applyBorder="1"/>
    <xf numFmtId="1" fontId="7" fillId="0" borderId="0" xfId="0" applyNumberFormat="1" applyFont="1" applyFill="1" applyAlignment="1">
      <alignment horizontal="center"/>
    </xf>
    <xf numFmtId="164" fontId="7" fillId="3" borderId="0" xfId="1" applyNumberFormat="1" applyFont="1" applyFill="1" applyAlignment="1">
      <alignment horizontal="center"/>
    </xf>
    <xf numFmtId="0" fontId="7" fillId="0" borderId="2" xfId="0" applyFont="1" applyBorder="1"/>
    <xf numFmtId="1" fontId="7" fillId="0" borderId="3" xfId="0" applyNumberFormat="1" applyFont="1" applyFill="1" applyBorder="1" applyAlignment="1">
      <alignment horizontal="center"/>
    </xf>
    <xf numFmtId="164" fontId="7" fillId="3" borderId="3" xfId="1" applyNumberFormat="1" applyFont="1" applyFill="1" applyBorder="1" applyAlignment="1">
      <alignment horizontal="center"/>
    </xf>
    <xf numFmtId="0" fontId="5" fillId="0" borderId="1" xfId="0" applyFont="1" applyBorder="1"/>
    <xf numFmtId="1" fontId="5" fillId="0" borderId="0" xfId="0" applyNumberFormat="1" applyFont="1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0" fontId="5" fillId="0" borderId="4" xfId="0" applyFont="1" applyBorder="1"/>
    <xf numFmtId="1" fontId="5" fillId="0" borderId="5" xfId="0" applyNumberFormat="1" applyFont="1" applyFill="1" applyBorder="1" applyAlignment="1">
      <alignment horizontal="center"/>
    </xf>
    <xf numFmtId="164" fontId="5" fillId="3" borderId="5" xfId="1" applyNumberFormat="1" applyFont="1" applyFill="1" applyBorder="1" applyAlignment="1">
      <alignment horizontal="center"/>
    </xf>
    <xf numFmtId="0" fontId="7" fillId="0" borderId="0" xfId="0" applyFont="1"/>
    <xf numFmtId="164" fontId="7" fillId="0" borderId="0" xfId="1" applyNumberFormat="1" applyFont="1"/>
    <xf numFmtId="0" fontId="8" fillId="2" borderId="0" xfId="0" applyFont="1" applyFill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 wrapText="1"/>
    </xf>
    <xf numFmtId="0" fontId="7" fillId="0" borderId="1" xfId="0" quotePrefix="1" applyFont="1" applyFill="1" applyBorder="1"/>
    <xf numFmtId="164" fontId="7" fillId="0" borderId="3" xfId="1" applyNumberFormat="1" applyFont="1" applyFill="1" applyBorder="1"/>
    <xf numFmtId="0" fontId="9" fillId="0" borderId="5" xfId="0" applyFont="1" applyFill="1" applyBorder="1"/>
    <xf numFmtId="0" fontId="5" fillId="0" borderId="5" xfId="0" applyFont="1" applyFill="1" applyBorder="1"/>
    <xf numFmtId="9" fontId="7" fillId="0" borderId="0" xfId="0" applyNumberFormat="1" applyFont="1" applyFill="1" applyAlignment="1">
      <alignment horizontal="center"/>
    </xf>
    <xf numFmtId="9" fontId="7" fillId="0" borderId="0" xfId="0" applyNumberFormat="1" applyFont="1"/>
    <xf numFmtId="165" fontId="5" fillId="3" borderId="5" xfId="0" applyNumberFormat="1" applyFont="1" applyFill="1" applyBorder="1" applyAlignment="1">
      <alignment horizontal="center"/>
    </xf>
    <xf numFmtId="0" fontId="7" fillId="0" borderId="0" xfId="0" applyFont="1" applyFill="1"/>
    <xf numFmtId="0" fontId="7" fillId="0" borderId="3" xfId="0" applyFont="1" applyFill="1" applyBorder="1"/>
    <xf numFmtId="0" fontId="7" fillId="0" borderId="5" xfId="0" applyFont="1" applyFill="1" applyBorder="1"/>
    <xf numFmtId="9" fontId="7" fillId="0" borderId="0" xfId="2" applyNumberFormat="1" applyFont="1"/>
    <xf numFmtId="164" fontId="5" fillId="0" borderId="0" xfId="1" applyNumberFormat="1" applyFont="1"/>
    <xf numFmtId="0" fontId="5" fillId="0" borderId="1" xfId="0" applyFont="1" applyFill="1" applyBorder="1"/>
    <xf numFmtId="0" fontId="7" fillId="0" borderId="2" xfId="0" applyFont="1" applyFill="1" applyBorder="1"/>
    <xf numFmtId="0" fontId="3" fillId="0" borderId="1" xfId="0" applyFont="1" applyFill="1" applyBorder="1"/>
    <xf numFmtId="1" fontId="7" fillId="3" borderId="0" xfId="0" applyNumberFormat="1" applyFont="1" applyFill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64" fontId="5" fillId="3" borderId="5" xfId="1" applyNumberFormat="1" applyFont="1" applyFill="1" applyBorder="1" applyAlignment="1">
      <alignment horizontal="right"/>
    </xf>
    <xf numFmtId="164" fontId="10" fillId="3" borderId="0" xfId="1" applyNumberFormat="1" applyFont="1" applyFill="1" applyAlignment="1">
      <alignment horizontal="right"/>
    </xf>
    <xf numFmtId="164" fontId="10" fillId="3" borderId="3" xfId="1" applyNumberFormat="1" applyFont="1" applyFill="1" applyBorder="1" applyAlignment="1">
      <alignment horizontal="right"/>
    </xf>
    <xf numFmtId="164" fontId="5" fillId="3" borderId="0" xfId="1" applyNumberFormat="1" applyFont="1" applyFill="1" applyAlignment="1">
      <alignment horizontal="right"/>
    </xf>
    <xf numFmtId="164" fontId="7" fillId="3" borderId="3" xfId="0" applyNumberFormat="1" applyFont="1" applyFill="1" applyBorder="1" applyAlignment="1">
      <alignment horizontal="right"/>
    </xf>
    <xf numFmtId="164" fontId="7" fillId="3" borderId="3" xfId="1" applyNumberFormat="1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0" fontId="5" fillId="3" borderId="0" xfId="1" applyNumberFormat="1" applyFont="1" applyFill="1" applyAlignment="1">
      <alignment horizontal="right"/>
    </xf>
    <xf numFmtId="15" fontId="2" fillId="0" borderId="0" xfId="0" applyNumberFormat="1" applyFont="1"/>
    <xf numFmtId="0" fontId="12" fillId="0" borderId="0" xfId="0" applyFont="1"/>
    <xf numFmtId="9" fontId="12" fillId="0" borderId="0" xfId="2" applyFont="1"/>
    <xf numFmtId="9" fontId="12" fillId="0" borderId="0" xfId="0" applyNumberFormat="1" applyFont="1"/>
    <xf numFmtId="164" fontId="12" fillId="0" borderId="0" xfId="0" applyNumberFormat="1" applyFont="1"/>
    <xf numFmtId="164" fontId="12" fillId="0" borderId="0" xfId="1" applyNumberFormat="1" applyFont="1"/>
    <xf numFmtId="9" fontId="12" fillId="0" borderId="0" xfId="2" applyNumberFormat="1" applyFont="1"/>
    <xf numFmtId="9" fontId="0" fillId="0" borderId="0" xfId="0" applyNumberFormat="1"/>
    <xf numFmtId="43" fontId="2" fillId="0" borderId="0" xfId="0" applyNumberFormat="1" applyFont="1"/>
    <xf numFmtId="1" fontId="0" fillId="0" borderId="6" xfId="0" applyNumberFormat="1" applyBorder="1"/>
    <xf numFmtId="9" fontId="12" fillId="0" borderId="6" xfId="2" applyFont="1" applyBorder="1"/>
    <xf numFmtId="165" fontId="12" fillId="0" borderId="6" xfId="0" applyNumberFormat="1" applyFont="1" applyBorder="1"/>
    <xf numFmtId="164" fontId="5" fillId="0" borderId="6" xfId="0" applyNumberFormat="1" applyFont="1" applyBorder="1"/>
    <xf numFmtId="1" fontId="5" fillId="0" borderId="6" xfId="0" applyNumberFormat="1" applyFont="1" applyBorder="1"/>
    <xf numFmtId="15" fontId="11" fillId="0" borderId="0" xfId="0" applyNumberFormat="1" applyFont="1"/>
    <xf numFmtId="0" fontId="1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164" fontId="14" fillId="0" borderId="0" xfId="1" applyNumberFormat="1" applyFont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1"/>
  <sheetViews>
    <sheetView showGridLines="0" workbookViewId="0">
      <selection activeCell="A11" sqref="A11"/>
    </sheetView>
  </sheetViews>
  <sheetFormatPr defaultRowHeight="15" x14ac:dyDescent="0.25"/>
  <cols>
    <col min="1" max="1" width="93.7109375" customWidth="1"/>
  </cols>
  <sheetData>
    <row r="9" spans="1:4" ht="36.75" customHeight="1" x14ac:dyDescent="0.55000000000000004">
      <c r="A9" s="85" t="s">
        <v>140</v>
      </c>
      <c r="B9" s="82"/>
      <c r="C9" s="82"/>
      <c r="D9" s="82"/>
    </row>
    <row r="10" spans="1:4" ht="21" customHeight="1" x14ac:dyDescent="0.35">
      <c r="A10" s="83" t="s">
        <v>141</v>
      </c>
    </row>
    <row r="11" spans="1:4" ht="26.25" customHeight="1" x14ac:dyDescent="0.45">
      <c r="A11" s="86" t="s">
        <v>142</v>
      </c>
      <c r="B11" s="84"/>
      <c r="C11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B12" sqref="B12"/>
    </sheetView>
  </sheetViews>
  <sheetFormatPr defaultRowHeight="15" x14ac:dyDescent="0.25"/>
  <cols>
    <col min="1" max="1" width="44.7109375" customWidth="1"/>
    <col min="2" max="2" width="49.28515625" customWidth="1"/>
  </cols>
  <sheetData>
    <row r="1" spans="1:2" s="81" customFormat="1" ht="17.25" x14ac:dyDescent="0.3">
      <c r="A1" s="79" t="s">
        <v>116</v>
      </c>
      <c r="B1" s="80" t="s">
        <v>47</v>
      </c>
    </row>
    <row r="2" spans="1:2" ht="17.25" x14ac:dyDescent="0.3">
      <c r="A2" s="75" t="s">
        <v>117</v>
      </c>
      <c r="B2" s="77">
        <v>8054</v>
      </c>
    </row>
    <row r="3" spans="1:2" ht="17.25" x14ac:dyDescent="0.3">
      <c r="A3" s="75" t="s">
        <v>118</v>
      </c>
      <c r="B3" s="76" t="s">
        <v>119</v>
      </c>
    </row>
    <row r="4" spans="1:2" ht="17.25" x14ac:dyDescent="0.3">
      <c r="A4" s="75" t="s">
        <v>120</v>
      </c>
      <c r="B4" s="76" t="s">
        <v>121</v>
      </c>
    </row>
    <row r="5" spans="1:2" ht="17.25" x14ac:dyDescent="0.3">
      <c r="A5" s="75" t="s">
        <v>122</v>
      </c>
      <c r="B5" s="76" t="s">
        <v>123</v>
      </c>
    </row>
    <row r="6" spans="1:2" ht="17.25" x14ac:dyDescent="0.3">
      <c r="A6" s="75" t="s">
        <v>137</v>
      </c>
      <c r="B6" s="76" t="s">
        <v>134</v>
      </c>
    </row>
    <row r="7" spans="1:2" ht="17.25" x14ac:dyDescent="0.3">
      <c r="A7" s="75" t="s">
        <v>136</v>
      </c>
      <c r="B7" s="76" t="s">
        <v>133</v>
      </c>
    </row>
    <row r="8" spans="1:2" ht="17.25" x14ac:dyDescent="0.3">
      <c r="A8" s="75" t="s">
        <v>124</v>
      </c>
      <c r="B8" s="76" t="s">
        <v>125</v>
      </c>
    </row>
    <row r="9" spans="1:2" ht="17.25" x14ac:dyDescent="0.3">
      <c r="A9" s="75" t="s">
        <v>113</v>
      </c>
      <c r="B9" s="76" t="s">
        <v>126</v>
      </c>
    </row>
    <row r="10" spans="1:2" ht="17.25" x14ac:dyDescent="0.3">
      <c r="A10" s="75" t="s">
        <v>127</v>
      </c>
      <c r="B10" s="76" t="s">
        <v>128</v>
      </c>
    </row>
    <row r="11" spans="1:2" ht="17.25" x14ac:dyDescent="0.3">
      <c r="A11" s="75" t="s">
        <v>135</v>
      </c>
      <c r="B11" s="76">
        <v>54.55</v>
      </c>
    </row>
    <row r="12" spans="1:2" ht="17.25" x14ac:dyDescent="0.3">
      <c r="A12" s="75" t="s">
        <v>139</v>
      </c>
      <c r="B12" s="76">
        <v>39</v>
      </c>
    </row>
    <row r="13" spans="1:2" ht="17.25" x14ac:dyDescent="0.3">
      <c r="A13" s="78" t="s">
        <v>138</v>
      </c>
      <c r="B13" s="76"/>
    </row>
    <row r="14" spans="1:2" x14ac:dyDescent="0.25">
      <c r="B14" s="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K12" sqref="K12"/>
    </sheetView>
  </sheetViews>
  <sheetFormatPr defaultRowHeight="15" x14ac:dyDescent="0.25"/>
  <cols>
    <col min="1" max="1" width="73.140625" customWidth="1"/>
    <col min="2" max="2" width="14" customWidth="1"/>
    <col min="3" max="3" width="12.42578125" customWidth="1"/>
    <col min="4" max="4" width="13" customWidth="1"/>
    <col min="5" max="5" width="12.42578125" customWidth="1"/>
    <col min="6" max="6" width="12.42578125" bestFit="1" customWidth="1"/>
    <col min="7" max="7" width="12.28515625" bestFit="1" customWidth="1"/>
    <col min="10" max="10" width="9.5703125" bestFit="1" customWidth="1"/>
  </cols>
  <sheetData>
    <row r="1" spans="1:10" x14ac:dyDescent="0.25">
      <c r="B1" s="71" t="s">
        <v>115</v>
      </c>
      <c r="C1" s="71"/>
      <c r="D1" s="71"/>
      <c r="E1" s="71" t="s">
        <v>114</v>
      </c>
      <c r="F1" s="71"/>
      <c r="G1" s="71"/>
    </row>
    <row r="2" spans="1:10" s="1" customFormat="1" x14ac:dyDescent="0.25">
      <c r="A2" s="1" t="s">
        <v>0</v>
      </c>
      <c r="B2" s="56">
        <v>44591</v>
      </c>
      <c r="C2" s="56">
        <v>44956</v>
      </c>
      <c r="D2" s="56">
        <v>45321</v>
      </c>
      <c r="E2" s="70">
        <v>45687</v>
      </c>
      <c r="F2" s="70">
        <v>46052</v>
      </c>
      <c r="G2" s="70">
        <v>46417</v>
      </c>
    </row>
    <row r="3" spans="1:10" x14ac:dyDescent="0.25">
      <c r="A3" t="s">
        <v>53</v>
      </c>
      <c r="B3" s="2">
        <v>572754</v>
      </c>
      <c r="C3" s="2">
        <v>611289</v>
      </c>
      <c r="D3" s="2">
        <v>648125</v>
      </c>
      <c r="E3" s="2">
        <f>D3*(1+E4)</f>
        <v>689455.84812566615</v>
      </c>
      <c r="F3" s="2">
        <f t="shared" ref="F3:G3" si="0">E3*(1+F4)</f>
        <v>732212.2531732244</v>
      </c>
      <c r="G3" s="2">
        <f t="shared" si="0"/>
        <v>778262.75948247348</v>
      </c>
    </row>
    <row r="4" spans="1:10" s="57" customFormat="1" x14ac:dyDescent="0.25">
      <c r="A4" s="57" t="s">
        <v>108</v>
      </c>
      <c r="B4" s="61"/>
      <c r="C4" s="58">
        <f>(C3-B3)/B3</f>
        <v>6.7280193590965751E-2</v>
      </c>
      <c r="D4" s="58">
        <f>(D3-C3)/C3</f>
        <v>6.0259549901928548E-2</v>
      </c>
      <c r="E4" s="59">
        <f>AVERAGE(C4:D4)</f>
        <v>6.3769871746447146E-2</v>
      </c>
      <c r="F4" s="59">
        <f t="shared" ref="F4:G4" si="1">AVERAGE(D4:E4)</f>
        <v>6.2014710824187844E-2</v>
      </c>
      <c r="G4" s="59">
        <f t="shared" si="1"/>
        <v>6.2892291285317495E-2</v>
      </c>
    </row>
    <row r="5" spans="1:10" x14ac:dyDescent="0.25">
      <c r="A5" t="s">
        <v>54</v>
      </c>
      <c r="B5" s="2">
        <v>-429000</v>
      </c>
      <c r="C5" s="2">
        <v>-463721</v>
      </c>
      <c r="D5" s="2">
        <v>-490142</v>
      </c>
      <c r="E5" s="2">
        <f>E6*E3</f>
        <v>-520275.82106211776</v>
      </c>
      <c r="F5" s="2">
        <f t="shared" ref="F5:G5" si="2">F6*F3</f>
        <v>-553908.68381041102</v>
      </c>
      <c r="G5" s="2">
        <f t="shared" si="2"/>
        <v>-588198.18697973969</v>
      </c>
    </row>
    <row r="6" spans="1:10" s="57" customFormat="1" x14ac:dyDescent="0.25">
      <c r="A6" s="57" t="s">
        <v>3</v>
      </c>
      <c r="B6" s="58">
        <f>B5/B3</f>
        <v>-0.7490126651232466</v>
      </c>
      <c r="C6" s="58">
        <f t="shared" ref="C6:D6" si="3">C5/C3</f>
        <v>-0.75859536160474017</v>
      </c>
      <c r="D6" s="58">
        <f t="shared" si="3"/>
        <v>-0.7562460945033751</v>
      </c>
      <c r="E6" s="59">
        <f>AVERAGE(B6:D6)</f>
        <v>-0.75461804041045399</v>
      </c>
      <c r="F6" s="59">
        <f t="shared" ref="F6:G6" si="4">AVERAGE(C6:E6)</f>
        <v>-0.75648649883952312</v>
      </c>
      <c r="G6" s="59">
        <f t="shared" si="4"/>
        <v>-0.75578354458445085</v>
      </c>
    </row>
    <row r="7" spans="1:10" x14ac:dyDescent="0.25">
      <c r="A7" t="s">
        <v>55</v>
      </c>
      <c r="B7" s="2">
        <v>143754</v>
      </c>
      <c r="C7" s="2">
        <v>147568</v>
      </c>
      <c r="D7" s="2">
        <v>157983</v>
      </c>
      <c r="E7" s="4">
        <f>E3+E5</f>
        <v>169180.02706354839</v>
      </c>
      <c r="F7" s="4">
        <f t="shared" ref="F7:G7" si="5">F3+F5</f>
        <v>178303.56936281337</v>
      </c>
      <c r="G7" s="4">
        <f t="shared" si="5"/>
        <v>190064.57250273379</v>
      </c>
    </row>
    <row r="8" spans="1:10" x14ac:dyDescent="0.25">
      <c r="A8" t="s">
        <v>56</v>
      </c>
      <c r="B8" s="2">
        <v>-121022</v>
      </c>
      <c r="C8" s="2">
        <v>-127140</v>
      </c>
      <c r="D8" s="2">
        <v>-130971</v>
      </c>
      <c r="E8" s="2">
        <f>E9*E3</f>
        <v>-142800.52799888852</v>
      </c>
      <c r="F8" s="2">
        <f t="shared" ref="F8:G8" si="6">F9*F3</f>
        <v>-150636.59102899602</v>
      </c>
      <c r="G8" s="2">
        <f t="shared" si="6"/>
        <v>-159524.51979452185</v>
      </c>
    </row>
    <row r="9" spans="1:10" s="57" customFormat="1" x14ac:dyDescent="0.25">
      <c r="A9" s="57" t="s">
        <v>3</v>
      </c>
      <c r="B9" s="58">
        <f>B8/B3</f>
        <v>-0.21129839337656306</v>
      </c>
      <c r="C9" s="58">
        <f t="shared" ref="C9:D9" si="7">C8/C3</f>
        <v>-0.20798672968105103</v>
      </c>
      <c r="D9" s="58">
        <f t="shared" si="7"/>
        <v>-0.20207675988428159</v>
      </c>
      <c r="E9" s="59">
        <f>AVERAGE(B9:D9)</f>
        <v>-0.20712062764729855</v>
      </c>
      <c r="F9" s="59">
        <f t="shared" ref="F9:G9" si="8">AVERAGE(C9:E9)</f>
        <v>-0.20572803907087703</v>
      </c>
      <c r="G9" s="59">
        <f t="shared" si="8"/>
        <v>-0.20497514220081905</v>
      </c>
    </row>
    <row r="10" spans="1:10" x14ac:dyDescent="0.25">
      <c r="A10" t="s">
        <v>57</v>
      </c>
      <c r="B10" s="2">
        <v>22732</v>
      </c>
      <c r="C10" s="2">
        <v>20428</v>
      </c>
      <c r="D10" s="2">
        <v>27012</v>
      </c>
      <c r="E10" s="4">
        <f>E7+E8</f>
        <v>26379.499064659874</v>
      </c>
      <c r="F10" s="4">
        <f t="shared" ref="F10:G10" si="9">F7+F8</f>
        <v>27666.978333817358</v>
      </c>
      <c r="G10" s="4">
        <f t="shared" si="9"/>
        <v>30540.052708211937</v>
      </c>
    </row>
    <row r="11" spans="1:10" x14ac:dyDescent="0.25">
      <c r="A11" t="s">
        <v>58</v>
      </c>
      <c r="B11" s="2">
        <v>-4236</v>
      </c>
      <c r="C11" s="2">
        <v>-2974</v>
      </c>
      <c r="D11" s="2">
        <v>-4737</v>
      </c>
      <c r="E11" s="4">
        <f>E12*E10</f>
        <v>-4460.740192949258</v>
      </c>
      <c r="F11" s="4">
        <f t="shared" ref="F11:G11" si="10">F12*F10</f>
        <v>-4519.3985216011406</v>
      </c>
      <c r="G11" s="4">
        <f t="shared" si="10"/>
        <v>-5169.5672782901347</v>
      </c>
      <c r="H11" s="4"/>
      <c r="I11" s="4"/>
      <c r="J11" s="4"/>
    </row>
    <row r="12" spans="1:10" s="57" customFormat="1" x14ac:dyDescent="0.25">
      <c r="A12" s="57" t="s">
        <v>4</v>
      </c>
      <c r="B12" s="58">
        <f>B11/B10</f>
        <v>-0.18634524019004048</v>
      </c>
      <c r="C12" s="58">
        <f t="shared" ref="C12:D12" si="11">C11/C10</f>
        <v>-0.14558449187389857</v>
      </c>
      <c r="D12" s="58">
        <f t="shared" si="11"/>
        <v>-0.17536650377609952</v>
      </c>
      <c r="E12" s="59">
        <f>AVERAGE(B12:D12)</f>
        <v>-0.16909874528001287</v>
      </c>
      <c r="F12" s="59">
        <f t="shared" ref="F12:G12" si="12">AVERAGE(C12:E12)</f>
        <v>-0.16334991364333698</v>
      </c>
      <c r="G12" s="59">
        <f t="shared" si="12"/>
        <v>-0.16927172089981646</v>
      </c>
      <c r="H12" s="60"/>
      <c r="I12" s="60"/>
      <c r="J12" s="60"/>
    </row>
    <row r="13" spans="1:10" x14ac:dyDescent="0.25">
      <c r="A13" t="s">
        <v>59</v>
      </c>
      <c r="B13" s="2">
        <v>200</v>
      </c>
      <c r="C13" s="2">
        <v>-438</v>
      </c>
      <c r="D13" s="2">
        <v>-427</v>
      </c>
      <c r="E13" s="4">
        <f>E14*E10</f>
        <v>-250.17242689931805</v>
      </c>
      <c r="F13" s="4">
        <f t="shared" ref="F13:G13" si="13">F14*F10</f>
        <v>-430.98273408010533</v>
      </c>
      <c r="G13" s="4">
        <f t="shared" si="13"/>
        <v>-416.04607538856277</v>
      </c>
    </row>
    <row r="14" spans="1:10" s="57" customFormat="1" x14ac:dyDescent="0.25">
      <c r="A14" s="57" t="s">
        <v>4</v>
      </c>
      <c r="B14" s="58">
        <f>B13/B10</f>
        <v>8.7981699806440258E-3</v>
      </c>
      <c r="C14" s="58">
        <f t="shared" ref="C14:D14" si="14">C13/C10</f>
        <v>-2.1441159193264146E-2</v>
      </c>
      <c r="D14" s="58">
        <f t="shared" si="14"/>
        <v>-1.58077891307567E-2</v>
      </c>
      <c r="E14" s="59">
        <f>AVERAGE(B14:D14)</f>
        <v>-9.4835927811256059E-3</v>
      </c>
      <c r="F14" s="59">
        <f t="shared" ref="F14:G14" si="15">AVERAGE(C14:E14)</f>
        <v>-1.5577513701715484E-2</v>
      </c>
      <c r="G14" s="59">
        <f t="shared" si="15"/>
        <v>-1.3622965204532598E-2</v>
      </c>
    </row>
    <row r="15" spans="1:10" x14ac:dyDescent="0.25">
      <c r="A15" t="s">
        <v>60</v>
      </c>
      <c r="B15" s="2">
        <v>18696</v>
      </c>
      <c r="C15" s="2">
        <v>17016</v>
      </c>
      <c r="D15" s="2">
        <v>21848</v>
      </c>
      <c r="E15" s="4">
        <f>E10+E11+E13</f>
        <v>21668.586444811299</v>
      </c>
      <c r="F15" s="4">
        <f t="shared" ref="F15:G15" si="16">F10+F11+F13</f>
        <v>22716.59707813611</v>
      </c>
      <c r="G15" s="4">
        <f t="shared" si="16"/>
        <v>24954.439354533239</v>
      </c>
    </row>
    <row r="16" spans="1:10" x14ac:dyDescent="0.25">
      <c r="A16" t="s">
        <v>61</v>
      </c>
      <c r="B16" s="2">
        <v>-4756</v>
      </c>
      <c r="C16" s="2">
        <v>-5724</v>
      </c>
      <c r="D16" s="2">
        <v>-5578</v>
      </c>
      <c r="E16" s="4">
        <f>E17*E15</f>
        <v>-6111.152836500064</v>
      </c>
      <c r="F16" s="4">
        <f t="shared" ref="F16:G16" si="17">F17*F15</f>
        <v>-6616.0340556941765</v>
      </c>
      <c r="G16" s="4">
        <f t="shared" si="17"/>
        <v>-6892.2492248060116</v>
      </c>
      <c r="J16" s="63"/>
    </row>
    <row r="17" spans="1:7" s="57" customFormat="1" x14ac:dyDescent="0.25">
      <c r="A17" s="57" t="s">
        <v>106</v>
      </c>
      <c r="B17" s="58">
        <f>B16/B15</f>
        <v>-0.25438596491228072</v>
      </c>
      <c r="C17" s="58">
        <f t="shared" ref="C17:D17" si="18">C16/C15</f>
        <v>-0.33638928067700985</v>
      </c>
      <c r="D17" s="58">
        <f t="shared" si="18"/>
        <v>-0.25530941047235445</v>
      </c>
      <c r="E17" s="59">
        <f>AVERAGE(B17:D17)</f>
        <v>-0.282028218687215</v>
      </c>
      <c r="F17" s="59">
        <f t="shared" ref="F17:G17" si="19">AVERAGE(C17:E17)</f>
        <v>-0.29124230327885975</v>
      </c>
      <c r="G17" s="59">
        <f t="shared" si="19"/>
        <v>-0.27619331081280979</v>
      </c>
    </row>
    <row r="18" spans="1:7" x14ac:dyDescent="0.25">
      <c r="A18" t="s">
        <v>62</v>
      </c>
      <c r="B18" s="2">
        <v>13940</v>
      </c>
      <c r="C18" s="2">
        <v>11292</v>
      </c>
      <c r="D18" s="2">
        <v>16270</v>
      </c>
      <c r="E18" s="4">
        <f>E15+E16</f>
        <v>15557.433608311236</v>
      </c>
      <c r="F18" s="4">
        <f t="shared" ref="F18:G18" si="20">F15+F16</f>
        <v>16100.563022441933</v>
      </c>
      <c r="G18" s="4">
        <f t="shared" si="20"/>
        <v>18062.190129727227</v>
      </c>
    </row>
    <row r="19" spans="1:7" x14ac:dyDescent="0.25">
      <c r="A19" t="s">
        <v>105</v>
      </c>
      <c r="B19" s="2">
        <v>267</v>
      </c>
      <c r="C19" s="2">
        <v>-388</v>
      </c>
      <c r="D19" s="2">
        <v>759</v>
      </c>
      <c r="E19" s="4">
        <f>E20*E18</f>
        <v>163.05840736603116</v>
      </c>
      <c r="F19" s="4">
        <f t="shared" ref="F19:G19" si="21">F20*F18</f>
        <v>122.20718089618254</v>
      </c>
      <c r="G19" s="4">
        <f t="shared" si="21"/>
        <v>389.67116156325363</v>
      </c>
    </row>
    <row r="20" spans="1:7" s="57" customFormat="1" x14ac:dyDescent="0.25">
      <c r="A20" s="57" t="s">
        <v>107</v>
      </c>
      <c r="B20" s="58">
        <f>B19/B18</f>
        <v>1.915351506456241E-2</v>
      </c>
      <c r="C20" s="58">
        <f t="shared" ref="C20:D20" si="22">C19/C18</f>
        <v>-3.436060928090684E-2</v>
      </c>
      <c r="D20" s="58">
        <f t="shared" si="22"/>
        <v>4.6650276582667488E-2</v>
      </c>
      <c r="E20" s="59">
        <f>AVERAGE(B20:D20)</f>
        <v>1.0481060788774352E-2</v>
      </c>
      <c r="F20" s="59">
        <f t="shared" ref="F20:G20" si="23">AVERAGE(C20:E20)</f>
        <v>7.5902426968449998E-3</v>
      </c>
      <c r="G20" s="59">
        <f t="shared" si="23"/>
        <v>2.1573860022762278E-2</v>
      </c>
    </row>
    <row r="21" spans="1:7" x14ac:dyDescent="0.25">
      <c r="A21" t="s">
        <v>63</v>
      </c>
      <c r="B21" s="2">
        <v>13673</v>
      </c>
      <c r="C21" s="2">
        <v>11680</v>
      </c>
      <c r="D21" s="2">
        <v>15511</v>
      </c>
      <c r="E21" s="4">
        <f>E18+E19</f>
        <v>15720.492015677268</v>
      </c>
      <c r="F21" s="4">
        <f t="shared" ref="F21:G21" si="24">F18+F19</f>
        <v>16222.770203338116</v>
      </c>
      <c r="G21" s="4">
        <f t="shared" si="24"/>
        <v>18451.861291290479</v>
      </c>
    </row>
    <row r="22" spans="1:7" s="57" customFormat="1" x14ac:dyDescent="0.25">
      <c r="A22" s="57" t="s">
        <v>108</v>
      </c>
      <c r="C22" s="58">
        <f>(C21-B21)/B21</f>
        <v>-0.14576172017845387</v>
      </c>
      <c r="D22" s="58">
        <f t="shared" ref="D22:G22" si="25">(D21-C21)/C21</f>
        <v>0.32799657534246573</v>
      </c>
      <c r="E22" s="58">
        <f t="shared" si="25"/>
        <v>1.350602899086247E-2</v>
      </c>
      <c r="F22" s="58">
        <f t="shared" si="25"/>
        <v>3.1950538644716128E-2</v>
      </c>
      <c r="G22" s="58">
        <f t="shared" si="25"/>
        <v>0.13740508310311203</v>
      </c>
    </row>
    <row r="23" spans="1:7" s="57" customFormat="1" x14ac:dyDescent="0.25">
      <c r="C23" s="58"/>
      <c r="D23" s="58"/>
      <c r="E23" s="58"/>
      <c r="F23" s="58"/>
      <c r="G23" s="58"/>
    </row>
    <row r="24" spans="1:7" x14ac:dyDescent="0.25">
      <c r="B24" s="71" t="s">
        <v>115</v>
      </c>
      <c r="C24" s="71"/>
      <c r="D24" s="71"/>
      <c r="E24" s="71" t="s">
        <v>114</v>
      </c>
      <c r="F24" s="71"/>
      <c r="G24" s="71"/>
    </row>
    <row r="25" spans="1:7" s="1" customFormat="1" x14ac:dyDescent="0.25">
      <c r="A25" s="1" t="s">
        <v>1</v>
      </c>
      <c r="B25" s="56">
        <v>44591</v>
      </c>
      <c r="C25" s="56">
        <v>44956</v>
      </c>
      <c r="D25" s="56">
        <v>45321</v>
      </c>
      <c r="E25" s="70">
        <v>45687</v>
      </c>
      <c r="F25" s="70">
        <v>46052</v>
      </c>
      <c r="G25" s="70">
        <v>46417</v>
      </c>
    </row>
    <row r="26" spans="1:7" x14ac:dyDescent="0.25">
      <c r="A26" t="s">
        <v>65</v>
      </c>
      <c r="B26" s="2">
        <v>14760</v>
      </c>
      <c r="C26" s="2">
        <v>8625</v>
      </c>
      <c r="D26" s="2">
        <v>9867</v>
      </c>
      <c r="E26" s="4">
        <f>D26+E99</f>
        <v>9659.0011005866363</v>
      </c>
      <c r="F26" s="4">
        <f t="shared" ref="F26:G26" si="26">E26+F99</f>
        <v>7410.8760509423764</v>
      </c>
      <c r="G26" s="4">
        <f t="shared" si="26"/>
        <v>7365.397749322553</v>
      </c>
    </row>
    <row r="27" spans="1:7" x14ac:dyDescent="0.25">
      <c r="A27" t="s">
        <v>66</v>
      </c>
      <c r="B27" s="2">
        <v>8280</v>
      </c>
      <c r="C27" s="2">
        <v>7933</v>
      </c>
      <c r="D27" s="2">
        <v>8796</v>
      </c>
      <c r="E27" s="4">
        <f>E28*E3</f>
        <v>9423.8087463361226</v>
      </c>
      <c r="F27" s="4">
        <f t="shared" ref="F27:G27" si="27">F28*F3</f>
        <v>9815.8969708941968</v>
      </c>
      <c r="G27" s="4">
        <f t="shared" si="27"/>
        <v>10544.354581580506</v>
      </c>
    </row>
    <row r="28" spans="1:7" s="57" customFormat="1" x14ac:dyDescent="0.25">
      <c r="B28" s="58">
        <f>B27/B3</f>
        <v>1.4456468221959166E-2</v>
      </c>
      <c r="C28" s="58">
        <f t="shared" ref="C28:D28" si="28">C27/C3</f>
        <v>1.2977495096427386E-2</v>
      </c>
      <c r="D28" s="58">
        <f t="shared" si="28"/>
        <v>1.357145612343298E-2</v>
      </c>
      <c r="E28" s="59">
        <f>AVERAGE(B28:D28)</f>
        <v>1.3668473147273178E-2</v>
      </c>
      <c r="F28" s="59">
        <f t="shared" ref="F28:G28" si="29">AVERAGE(C28:E28)</f>
        <v>1.3405808122377849E-2</v>
      </c>
      <c r="G28" s="59">
        <f t="shared" si="29"/>
        <v>1.3548579131028004E-2</v>
      </c>
    </row>
    <row r="29" spans="1:7" x14ac:dyDescent="0.25">
      <c r="A29" t="s">
        <v>67</v>
      </c>
      <c r="B29" s="2">
        <f>56511</f>
        <v>56511</v>
      </c>
      <c r="C29" s="2">
        <f>56576</f>
        <v>56576</v>
      </c>
      <c r="D29" s="2">
        <f>54892</f>
        <v>54892</v>
      </c>
      <c r="E29" s="4">
        <f>-E30*E5</f>
        <v>63425.733212605883</v>
      </c>
      <c r="F29" s="4">
        <f t="shared" ref="F29:G29" si="30">-F30*F5</f>
        <v>65712.833127339662</v>
      </c>
      <c r="G29" s="4">
        <f t="shared" si="30"/>
        <v>69120.092956394335</v>
      </c>
    </row>
    <row r="30" spans="1:7" s="57" customFormat="1" x14ac:dyDescent="0.25">
      <c r="B30" s="58">
        <f>-B29/B5</f>
        <v>0.13172727272727272</v>
      </c>
      <c r="C30" s="58">
        <f t="shared" ref="C30:D30" si="31">-C29/C5</f>
        <v>0.12200439488399274</v>
      </c>
      <c r="D30" s="58">
        <f t="shared" si="31"/>
        <v>0.11199203496129694</v>
      </c>
      <c r="E30" s="59">
        <f>AVERAGE(B30:D30)</f>
        <v>0.1219079008575208</v>
      </c>
      <c r="F30" s="59">
        <f t="shared" ref="F30:G30" si="32">AVERAGE(C30:E30)</f>
        <v>0.11863477690093682</v>
      </c>
      <c r="G30" s="59">
        <f t="shared" si="32"/>
        <v>0.11751157090658486</v>
      </c>
    </row>
    <row r="31" spans="1:7" x14ac:dyDescent="0.25">
      <c r="A31" t="s">
        <v>68</v>
      </c>
      <c r="B31" s="2">
        <v>1519</v>
      </c>
      <c r="C31" s="2">
        <v>2521</v>
      </c>
      <c r="D31" s="2">
        <v>3322</v>
      </c>
      <c r="E31" s="4">
        <f>-E32*E5</f>
        <v>2732.2941693436769</v>
      </c>
      <c r="F31" s="4">
        <f t="shared" ref="F31:G31" si="33">-F32*F5</f>
        <v>3224.8032811953067</v>
      </c>
      <c r="G31" s="4">
        <f t="shared" si="33"/>
        <v>3500.0062877656574</v>
      </c>
    </row>
    <row r="32" spans="1:7" s="57" customFormat="1" x14ac:dyDescent="0.25">
      <c r="B32" s="58">
        <f>-B31/B5</f>
        <v>3.5407925407925406E-3</v>
      </c>
      <c r="C32" s="58">
        <f t="shared" ref="C32:D32" si="34">-C31/C5</f>
        <v>5.4364585602118516E-3</v>
      </c>
      <c r="D32" s="58">
        <f t="shared" si="34"/>
        <v>6.7776277078887342E-3</v>
      </c>
      <c r="E32" s="59">
        <f>AVERAGE(B32:D32)</f>
        <v>5.251626269631042E-3</v>
      </c>
      <c r="F32" s="59">
        <f t="shared" ref="F32:G32" si="35">AVERAGE(C32:E32)</f>
        <v>5.821904179243876E-3</v>
      </c>
      <c r="G32" s="59">
        <f t="shared" si="35"/>
        <v>5.9503860522545507E-3</v>
      </c>
    </row>
    <row r="33" spans="1:11" x14ac:dyDescent="0.25">
      <c r="A33" t="s">
        <v>69</v>
      </c>
      <c r="B33" s="2">
        <v>112624</v>
      </c>
      <c r="C33" s="2">
        <v>119234</v>
      </c>
      <c r="D33" s="2">
        <v>130338</v>
      </c>
      <c r="E33" s="4">
        <f>D33-E83-E74</f>
        <v>136646.6505648582</v>
      </c>
      <c r="F33" s="4">
        <f>E33-F83-F74</f>
        <v>144536.64406248272</v>
      </c>
      <c r="G33" s="4">
        <f>F33-G83-G74</f>
        <v>153209.30693979055</v>
      </c>
    </row>
    <row r="34" spans="1:11" s="57" customFormat="1" x14ac:dyDescent="0.25">
      <c r="B34" s="61"/>
      <c r="C34" s="58">
        <f>(C33-B33)/B33</f>
        <v>5.8690865179713024E-2</v>
      </c>
      <c r="D34" s="58">
        <f t="shared" ref="D34:G34" si="36">(D33-C33)/C33</f>
        <v>9.3127799117701332E-2</v>
      </c>
      <c r="E34" s="58">
        <f t="shared" si="36"/>
        <v>4.8402235455954484E-2</v>
      </c>
      <c r="F34" s="58">
        <f t="shared" si="36"/>
        <v>5.7740116314666697E-2</v>
      </c>
      <c r="G34" s="58">
        <f t="shared" si="36"/>
        <v>6.0003211874482584E-2</v>
      </c>
    </row>
    <row r="35" spans="1:11" x14ac:dyDescent="0.25">
      <c r="A35" t="s">
        <v>70</v>
      </c>
      <c r="B35" s="2">
        <v>29014</v>
      </c>
      <c r="C35" s="2">
        <v>28174</v>
      </c>
      <c r="D35" s="2">
        <v>28113</v>
      </c>
      <c r="E35" s="4">
        <f>E36*E3</f>
        <v>34641.709089074095</v>
      </c>
      <c r="F35" s="4">
        <f t="shared" ref="F35:G35" si="37">F36*F3</f>
        <v>37809.244117105787</v>
      </c>
      <c r="G35" s="4">
        <f t="shared" si="37"/>
        <v>42128.53056492551</v>
      </c>
      <c r="I35" s="4"/>
      <c r="J35" s="4"/>
      <c r="K35" s="4"/>
    </row>
    <row r="36" spans="1:11" s="57" customFormat="1" x14ac:dyDescent="0.25">
      <c r="B36" s="58">
        <f>B35/B3</f>
        <v>5.065700108598107E-2</v>
      </c>
      <c r="C36" s="58">
        <f t="shared" ref="C36:D36" si="38">C35/C3</f>
        <v>4.6089492858533358E-2</v>
      </c>
      <c r="D36" s="58">
        <f t="shared" si="38"/>
        <v>4.3375891996142717E-2</v>
      </c>
      <c r="E36" s="59">
        <f>5.0245%</f>
        <v>5.0244999999999998E-2</v>
      </c>
      <c r="F36" s="59">
        <f>5.1637%</f>
        <v>5.1637000000000002E-2</v>
      </c>
      <c r="G36" s="59">
        <f>5.41315%</f>
        <v>5.4131499999999999E-2</v>
      </c>
    </row>
    <row r="37" spans="1:11" x14ac:dyDescent="0.25">
      <c r="A37" t="s">
        <v>71</v>
      </c>
      <c r="B37" s="2">
        <v>22152</v>
      </c>
      <c r="C37" s="2">
        <v>20134</v>
      </c>
      <c r="D37" s="2">
        <v>17071</v>
      </c>
      <c r="E37" s="4">
        <f>E38*E3</f>
        <v>22511.262740315087</v>
      </c>
      <c r="F37" s="4">
        <f t="shared" ref="F37:G37" si="39">F38*F3</f>
        <v>22436.638353403476</v>
      </c>
      <c r="G37" s="4">
        <f t="shared" si="39"/>
        <v>23252.437374015692</v>
      </c>
    </row>
    <row r="38" spans="1:11" s="57" customFormat="1" x14ac:dyDescent="0.25">
      <c r="B38" s="58">
        <f>B37/B3</f>
        <v>3.8676290344545824E-2</v>
      </c>
      <c r="C38" s="58">
        <f t="shared" ref="C38:D38" si="40">C37/C3</f>
        <v>3.2936957805555146E-2</v>
      </c>
      <c r="D38" s="58">
        <f t="shared" si="40"/>
        <v>2.6339054966248793E-2</v>
      </c>
      <c r="E38" s="59">
        <f>AVERAGE(B38:D38)</f>
        <v>3.2650767705449925E-2</v>
      </c>
      <c r="F38" s="59">
        <f t="shared" ref="F38:G38" si="41">AVERAGE(C38:E38)</f>
        <v>3.0642260159084622E-2</v>
      </c>
      <c r="G38" s="59">
        <f t="shared" si="41"/>
        <v>2.9877360943594448E-2</v>
      </c>
    </row>
    <row r="39" spans="1:11" s="1" customFormat="1" x14ac:dyDescent="0.25">
      <c r="A39" s="1" t="s">
        <v>72</v>
      </c>
      <c r="B39" s="3">
        <v>244860</v>
      </c>
      <c r="C39" s="3">
        <v>243197</v>
      </c>
      <c r="D39" s="3">
        <v>252399</v>
      </c>
      <c r="E39" s="6">
        <f>E26+E27+E29+E31+E33+E35+E37</f>
        <v>279040.45962311974</v>
      </c>
      <c r="F39" s="6">
        <f t="shared" ref="F39:G39" si="42">F26+F27+F29+F31+F33+F35+F37</f>
        <v>290946.93596336356</v>
      </c>
      <c r="G39" s="6">
        <f t="shared" si="42"/>
        <v>309120.12645379477</v>
      </c>
    </row>
    <row r="40" spans="1:11" x14ac:dyDescent="0.25">
      <c r="A40" t="s">
        <v>73</v>
      </c>
      <c r="B40" s="2">
        <v>55261</v>
      </c>
      <c r="C40" s="2">
        <v>53742</v>
      </c>
      <c r="D40" s="2">
        <v>56812</v>
      </c>
      <c r="E40" s="4">
        <f>-E41*E5</f>
        <v>62539.884866482593</v>
      </c>
      <c r="F40" s="4">
        <f t="shared" ref="F40:G40" si="43">-F41*F5</f>
        <v>64993.332959293199</v>
      </c>
      <c r="G40" s="4">
        <f t="shared" si="43"/>
        <v>69299.616904254028</v>
      </c>
    </row>
    <row r="41" spans="1:11" s="57" customFormat="1" x14ac:dyDescent="0.25">
      <c r="B41" s="58">
        <f>-B40/B5</f>
        <v>0.12881351981351982</v>
      </c>
      <c r="C41" s="58">
        <f t="shared" ref="C41:D41" si="44">-C40/C5</f>
        <v>0.11589296150055745</v>
      </c>
      <c r="D41" s="58">
        <f t="shared" si="44"/>
        <v>0.11590926711034762</v>
      </c>
      <c r="E41" s="59">
        <f>AVERAGE(B41:D41)</f>
        <v>0.1202052494748083</v>
      </c>
      <c r="F41" s="59">
        <f t="shared" ref="F41:G41" si="45">AVERAGE(C41:E41)</f>
        <v>0.11733582602857112</v>
      </c>
      <c r="G41" s="59">
        <f t="shared" si="45"/>
        <v>0.11781678087124235</v>
      </c>
    </row>
    <row r="42" spans="1:11" x14ac:dyDescent="0.25">
      <c r="A42" t="s">
        <v>74</v>
      </c>
      <c r="B42" s="2">
        <v>27522</v>
      </c>
      <c r="C42" s="2">
        <v>32599</v>
      </c>
      <c r="D42" s="2">
        <v>30246</v>
      </c>
      <c r="E42" s="4">
        <f>-E43*E5</f>
        <v>34019.314915323266</v>
      </c>
      <c r="F42" s="4">
        <f t="shared" ref="F42:G42" si="46">-F43*F5</f>
        <v>36446.168485072201</v>
      </c>
      <c r="G42" s="4">
        <f t="shared" si="46"/>
        <v>37819.943006562644</v>
      </c>
    </row>
    <row r="43" spans="1:11" s="57" customFormat="1" x14ac:dyDescent="0.25">
      <c r="B43" s="58">
        <f>-B42/B5</f>
        <v>6.4153846153846159E-2</v>
      </c>
      <c r="C43" s="58">
        <f t="shared" ref="C43:D43" si="47">-C42/C5</f>
        <v>7.0298735662176176E-2</v>
      </c>
      <c r="D43" s="58">
        <f t="shared" si="47"/>
        <v>6.1708647698014048E-2</v>
      </c>
      <c r="E43" s="59">
        <f>AVERAGE(B43:D43)</f>
        <v>6.5387076504678787E-2</v>
      </c>
      <c r="F43" s="59">
        <f t="shared" ref="F43:G43" si="48">AVERAGE(C43:E43)</f>
        <v>6.5798153288289668E-2</v>
      </c>
      <c r="G43" s="59">
        <f t="shared" si="48"/>
        <v>6.4297959163660837E-2</v>
      </c>
    </row>
    <row r="44" spans="1:11" x14ac:dyDescent="0.25">
      <c r="A44" t="s">
        <v>75</v>
      </c>
      <c r="B44" s="2">
        <v>3314</v>
      </c>
      <c r="C44" s="2">
        <v>4758</v>
      </c>
      <c r="D44" s="2">
        <v>4172</v>
      </c>
      <c r="E44" s="4">
        <f>E45*E3</f>
        <v>4597.9032675919934</v>
      </c>
      <c r="F44" s="4">
        <f t="shared" ref="F44:G44" si="49">F45*F3</f>
        <v>5098.5085187554068</v>
      </c>
      <c r="G44" s="4">
        <f t="shared" si="49"/>
        <v>5206.3375300330326</v>
      </c>
    </row>
    <row r="45" spans="1:11" s="57" customFormat="1" x14ac:dyDescent="0.25">
      <c r="B45" s="58">
        <f>B44/B3</f>
        <v>5.7860791893203714E-3</v>
      </c>
      <c r="C45" s="58">
        <f t="shared" ref="C45:D45" si="50">C44/C3</f>
        <v>7.7835524604565106E-3</v>
      </c>
      <c r="D45" s="58">
        <f t="shared" si="50"/>
        <v>6.4370298939247826E-3</v>
      </c>
      <c r="E45" s="59">
        <f>AVERAGE(B45:D45)</f>
        <v>6.6688871812338882E-3</v>
      </c>
      <c r="F45" s="59">
        <f t="shared" ref="F45:G45" si="51">AVERAGE(C45:E45)</f>
        <v>6.9631565118717272E-3</v>
      </c>
      <c r="G45" s="59">
        <f t="shared" si="51"/>
        <v>6.6896911956767988E-3</v>
      </c>
    </row>
    <row r="46" spans="1:11" x14ac:dyDescent="0.25">
      <c r="A46" t="s">
        <v>76</v>
      </c>
      <c r="B46" s="2">
        <v>872</v>
      </c>
      <c r="C46" s="2">
        <v>727</v>
      </c>
      <c r="D46" s="2">
        <v>307</v>
      </c>
      <c r="E46" s="4">
        <f>E47*E3</f>
        <v>732.07177272865476</v>
      </c>
      <c r="F46" s="4">
        <f t="shared" ref="F46:G46" si="52">F47*F3</f>
        <v>665.03792639289304</v>
      </c>
      <c r="G46" s="4">
        <f t="shared" si="52"/>
        <v>633.95816345130845</v>
      </c>
    </row>
    <row r="47" spans="1:11" s="57" customFormat="1" x14ac:dyDescent="0.25">
      <c r="B47" s="58">
        <f>B46/B3</f>
        <v>1.5224686340034291E-3</v>
      </c>
      <c r="C47" s="58">
        <f t="shared" ref="C47:D47" si="53">C46/C3</f>
        <v>1.1892901720790003E-3</v>
      </c>
      <c r="D47" s="58">
        <f t="shared" si="53"/>
        <v>4.7367405978784958E-4</v>
      </c>
      <c r="E47" s="59">
        <f>AVERAGE(B47:D47)</f>
        <v>1.061810955290093E-3</v>
      </c>
      <c r="F47" s="59">
        <f t="shared" ref="F47:G47" si="54">AVERAGE(C47:E47)</f>
        <v>9.0825839571898092E-4</v>
      </c>
      <c r="G47" s="59">
        <f t="shared" si="54"/>
        <v>8.1458113693230782E-4</v>
      </c>
    </row>
    <row r="48" spans="1:11" x14ac:dyDescent="0.25">
      <c r="A48" t="s">
        <v>77</v>
      </c>
      <c r="B48" s="2">
        <v>4243</v>
      </c>
      <c r="C48" s="2">
        <v>4843</v>
      </c>
      <c r="D48" s="2">
        <v>5709</v>
      </c>
      <c r="E48" s="4">
        <f>E49*E39</f>
        <v>5567.8909910171096</v>
      </c>
      <c r="F48" s="4">
        <f t="shared" ref="F48:G48" si="55">F49*F39</f>
        <v>6060.0901307801869</v>
      </c>
      <c r="G48" s="4">
        <f t="shared" si="55"/>
        <v>6532.8936070841473</v>
      </c>
    </row>
    <row r="49" spans="1:7" s="57" customFormat="1" x14ac:dyDescent="0.25">
      <c r="B49" s="58">
        <f>B48/B39</f>
        <v>1.7328269215061667E-2</v>
      </c>
      <c r="C49" s="58">
        <f t="shared" ref="C49:D49" si="56">C48/C39</f>
        <v>1.9913896964189524E-2</v>
      </c>
      <c r="D49" s="58">
        <f t="shared" si="56"/>
        <v>2.2618948569526821E-2</v>
      </c>
      <c r="E49" s="59">
        <f>AVERAGE(B49:D49)</f>
        <v>1.9953704916259338E-2</v>
      </c>
      <c r="F49" s="59">
        <f t="shared" ref="F49:G49" si="57">AVERAGE(C49:E49)</f>
        <v>2.0828850149991893E-2</v>
      </c>
      <c r="G49" s="59">
        <f t="shared" si="57"/>
        <v>2.1133834545259352E-2</v>
      </c>
    </row>
    <row r="50" spans="1:7" x14ac:dyDescent="0.25">
      <c r="A50" t="s">
        <v>78</v>
      </c>
      <c r="B50" s="2">
        <v>42831</v>
      </c>
      <c r="C50" s="2">
        <v>44622</v>
      </c>
      <c r="D50" s="2">
        <v>46891</v>
      </c>
      <c r="E50" s="4">
        <f>E51*E39</f>
        <v>50616.310486331764</v>
      </c>
      <c r="F50" s="4">
        <f t="shared" ref="F50:G50" si="58">F51*F39</f>
        <v>53403.919870253783</v>
      </c>
      <c r="G50" s="4">
        <f t="shared" si="58"/>
        <v>56746.984973578088</v>
      </c>
    </row>
    <row r="51" spans="1:7" s="57" customFormat="1" x14ac:dyDescent="0.25">
      <c r="B51" s="58">
        <f>B50/B39</f>
        <v>0.17492036265621172</v>
      </c>
      <c r="C51" s="58">
        <f t="shared" ref="C51:D51" si="59">C50/C39</f>
        <v>0.18348088175429797</v>
      </c>
      <c r="D51" s="58">
        <f t="shared" si="59"/>
        <v>0.18578124319034545</v>
      </c>
      <c r="E51" s="59">
        <f>AVERAGE(B51:D51)</f>
        <v>0.1813941625336184</v>
      </c>
      <c r="F51" s="59">
        <f t="shared" ref="F51:G51" si="60">AVERAGE(C51:E51)</f>
        <v>0.18355209582608725</v>
      </c>
      <c r="G51" s="59">
        <f t="shared" si="60"/>
        <v>0.18357583385001705</v>
      </c>
    </row>
    <row r="52" spans="1:7" x14ac:dyDescent="0.25">
      <c r="A52" t="s">
        <v>79</v>
      </c>
      <c r="B52" s="2">
        <v>13474</v>
      </c>
      <c r="C52" s="2">
        <v>14688</v>
      </c>
      <c r="D52" s="2">
        <v>14629</v>
      </c>
      <c r="E52" s="4">
        <f>E53*E39</f>
        <v>16126.925899976819</v>
      </c>
      <c r="F52" s="4">
        <f t="shared" ref="F52:G52" si="61">F53*F39</f>
        <v>17083.387716285139</v>
      </c>
      <c r="G52" s="4">
        <f t="shared" si="61"/>
        <v>17977.452307630512</v>
      </c>
    </row>
    <row r="53" spans="1:7" s="57" customFormat="1" x14ac:dyDescent="0.25">
      <c r="B53" s="58">
        <f>B52/B39</f>
        <v>5.5027362574532383E-2</v>
      </c>
      <c r="C53" s="58">
        <f t="shared" ref="C53:D53" si="62">C52/C39</f>
        <v>6.0395481852161002E-2</v>
      </c>
      <c r="D53" s="58">
        <f t="shared" si="62"/>
        <v>5.7959817590402495E-2</v>
      </c>
      <c r="E53" s="59">
        <f>AVERAGE(B53:D53)</f>
        <v>5.7794220672365289E-2</v>
      </c>
      <c r="F53" s="59">
        <f t="shared" ref="F53:G53" si="63">AVERAGE(C53:E53)</f>
        <v>5.8716506704976267E-2</v>
      </c>
      <c r="G53" s="59">
        <f t="shared" si="63"/>
        <v>5.8156848322581355E-2</v>
      </c>
    </row>
    <row r="54" spans="1:7" x14ac:dyDescent="0.25">
      <c r="A54" t="s">
        <v>80</v>
      </c>
      <c r="B54" s="2">
        <v>14090</v>
      </c>
      <c r="C54" s="2">
        <v>10525</v>
      </c>
      <c r="D54" s="2">
        <v>9772</v>
      </c>
      <c r="E54" s="4">
        <f>E55*E39</f>
        <v>12978.844687363899</v>
      </c>
      <c r="F54" s="4">
        <f t="shared" ref="F54:G54" si="64">F55*F39</f>
        <v>12462.863315304909</v>
      </c>
      <c r="G54" s="4">
        <f t="shared" si="64"/>
        <v>13195.762026906363</v>
      </c>
    </row>
    <row r="55" spans="1:7" s="57" customFormat="1" x14ac:dyDescent="0.25">
      <c r="B55" s="58">
        <f>B54/B39</f>
        <v>5.7543085844972634E-2</v>
      </c>
      <c r="C55" s="58">
        <f t="shared" ref="C55:D55" si="65">C54/C39</f>
        <v>4.3277672010756711E-2</v>
      </c>
      <c r="D55" s="58">
        <f t="shared" si="65"/>
        <v>3.8716476689685773E-2</v>
      </c>
      <c r="E55" s="59">
        <f>AVERAGE(B55:D55)</f>
        <v>4.6512411515138373E-2</v>
      </c>
      <c r="F55" s="59">
        <f t="shared" ref="F55:G55" si="66">AVERAGE(C55:E55)</f>
        <v>4.2835520071860284E-2</v>
      </c>
      <c r="G55" s="59">
        <f t="shared" si="66"/>
        <v>4.2688136092228136E-2</v>
      </c>
    </row>
    <row r="56" spans="1:7" s="1" customFormat="1" x14ac:dyDescent="0.25">
      <c r="A56" s="1" t="s">
        <v>81</v>
      </c>
      <c r="B56" s="3">
        <v>161607</v>
      </c>
      <c r="C56" s="3">
        <v>166504</v>
      </c>
      <c r="D56" s="3">
        <v>168538</v>
      </c>
      <c r="E56" s="6">
        <f>E40+E42+E44+E46+E48+E50+E52+E54</f>
        <v>187179.14688681607</v>
      </c>
      <c r="F56" s="6">
        <f t="shared" ref="F56:G56" si="67">F40+F42+F44+F46+F48+F50+F52+F54</f>
        <v>196213.30892213772</v>
      </c>
      <c r="G56" s="6">
        <f t="shared" si="67"/>
        <v>207412.94851950009</v>
      </c>
    </row>
    <row r="57" spans="1:7" x14ac:dyDescent="0.25">
      <c r="A57" t="s">
        <v>82</v>
      </c>
      <c r="B57" s="2">
        <v>276</v>
      </c>
      <c r="C57" s="2">
        <v>269</v>
      </c>
      <c r="D57" s="2">
        <v>805</v>
      </c>
      <c r="E57" s="4">
        <f>E58*E39</f>
        <v>504.38129911575089</v>
      </c>
      <c r="F57" s="4">
        <f t="shared" ref="F57:G57" si="68">F58*F39</f>
        <v>591.88788862027013</v>
      </c>
      <c r="G57" s="4">
        <f t="shared" si="68"/>
        <v>724.5055188814506</v>
      </c>
    </row>
    <row r="58" spans="1:7" s="57" customFormat="1" x14ac:dyDescent="0.25">
      <c r="B58" s="58">
        <f>B57/B39</f>
        <v>1.1271747120803724E-3</v>
      </c>
      <c r="C58" s="58">
        <f t="shared" ref="C58:D58" si="69">C57/C39</f>
        <v>1.1060991706312168E-3</v>
      </c>
      <c r="D58" s="58">
        <f t="shared" si="69"/>
        <v>3.1893945697090719E-3</v>
      </c>
      <c r="E58" s="62">
        <f>AVERAGE(B58:D58)</f>
        <v>1.807556150806887E-3</v>
      </c>
      <c r="F58" s="62">
        <f t="shared" ref="F58:G58" si="70">AVERAGE(C58:E58)</f>
        <v>2.0343499637157252E-3</v>
      </c>
      <c r="G58" s="62">
        <f t="shared" si="70"/>
        <v>2.3437668947438946E-3</v>
      </c>
    </row>
    <row r="59" spans="1:7" x14ac:dyDescent="0.25">
      <c r="A59" t="s">
        <v>83</v>
      </c>
      <c r="B59" s="2">
        <v>4839</v>
      </c>
      <c r="C59" s="2">
        <v>4969</v>
      </c>
      <c r="D59" s="2">
        <v>4544</v>
      </c>
      <c r="E59" s="4">
        <f>E60*E39</f>
        <v>5413.1569889377442</v>
      </c>
      <c r="F59" s="4">
        <f t="shared" ref="F59:G59" si="71">F60*F39</f>
        <v>5608.9157188693962</v>
      </c>
      <c r="G59" s="4">
        <f t="shared" si="71"/>
        <v>5840.3676952748137</v>
      </c>
    </row>
    <row r="60" spans="1:7" s="57" customFormat="1" x14ac:dyDescent="0.25">
      <c r="B60" s="58">
        <f>B59/B39</f>
        <v>1.9762313158539574E-2</v>
      </c>
      <c r="C60" s="58">
        <f t="shared" ref="C60:D60" si="72">C59/C39</f>
        <v>2.043199546047032E-2</v>
      </c>
      <c r="D60" s="58">
        <f t="shared" si="72"/>
        <v>1.8003240900320523E-2</v>
      </c>
      <c r="E60" s="59">
        <f>AVERAGE(B60:D60)</f>
        <v>1.9399183173110141E-2</v>
      </c>
      <c r="F60" s="59">
        <f t="shared" ref="F60:G60" si="73">AVERAGE(C60:E60)</f>
        <v>1.9278139844633658E-2</v>
      </c>
      <c r="G60" s="59">
        <f t="shared" si="73"/>
        <v>1.8893521306021441E-2</v>
      </c>
    </row>
    <row r="61" spans="1:7" x14ac:dyDescent="0.25">
      <c r="A61" t="s">
        <v>84</v>
      </c>
      <c r="B61" s="2">
        <v>86904</v>
      </c>
      <c r="C61" s="2">
        <v>83135</v>
      </c>
      <c r="D61" s="2">
        <v>89814</v>
      </c>
      <c r="E61" s="4">
        <f>E62*E39</f>
        <v>97905.676727646729</v>
      </c>
      <c r="F61" s="4">
        <f t="shared" ref="F61:G61" si="74">F62*F39</f>
        <v>101690.71395202442</v>
      </c>
      <c r="G61" s="4">
        <f t="shared" si="74"/>
        <v>108833.28603355704</v>
      </c>
    </row>
    <row r="62" spans="1:7" s="57" customFormat="1" x14ac:dyDescent="0.25">
      <c r="B62" s="58">
        <f>B61/B39</f>
        <v>0.35491301151678512</v>
      </c>
      <c r="C62" s="58">
        <f t="shared" ref="C62:D62" si="75">C61/C39</f>
        <v>0.34184221022463268</v>
      </c>
      <c r="D62" s="58">
        <f t="shared" si="75"/>
        <v>0.35584134643956594</v>
      </c>
      <c r="E62" s="59">
        <f>AVERAGE(B62:D62)</f>
        <v>0.35086552272699456</v>
      </c>
      <c r="F62" s="59">
        <f t="shared" ref="F62:G62" si="76">AVERAGE(C62:E62)</f>
        <v>0.34951635979706436</v>
      </c>
      <c r="G62" s="59">
        <f t="shared" si="76"/>
        <v>0.35207440965454162</v>
      </c>
    </row>
    <row r="63" spans="1:7" x14ac:dyDescent="0.25">
      <c r="A63" t="s">
        <v>85</v>
      </c>
      <c r="B63" s="2">
        <v>-8766</v>
      </c>
      <c r="C63" s="2">
        <v>-11680</v>
      </c>
      <c r="D63" s="2">
        <v>-11302</v>
      </c>
      <c r="E63" s="4">
        <f>E64*E39</f>
        <v>-11962.024047682184</v>
      </c>
      <c r="F63" s="4">
        <f t="shared" ref="F63:G63" si="77">F64*F39</f>
        <v>-13157.943003833549</v>
      </c>
      <c r="G63" s="4">
        <f t="shared" si="77"/>
        <v>-13691.061735680274</v>
      </c>
    </row>
    <row r="64" spans="1:7" s="57" customFormat="1" x14ac:dyDescent="0.25">
      <c r="B64" s="58">
        <f>B63/B39</f>
        <v>-3.5800049007596174E-2</v>
      </c>
      <c r="C64" s="58">
        <f t="shared" ref="C64:D64" si="78">C63/C39</f>
        <v>-4.8026908226663979E-2</v>
      </c>
      <c r="D64" s="58">
        <f t="shared" si="78"/>
        <v>-4.477830736254898E-2</v>
      </c>
      <c r="E64" s="59">
        <f>AVERAGE(B64:D64)</f>
        <v>-4.2868421532269711E-2</v>
      </c>
      <c r="F64" s="59">
        <f t="shared" ref="F64:G64" si="79">AVERAGE(C64:E64)</f>
        <v>-4.522454570716089E-2</v>
      </c>
      <c r="G64" s="59">
        <f t="shared" si="79"/>
        <v>-4.4290424867326532E-2</v>
      </c>
    </row>
    <row r="65" spans="1:7" s="1" customFormat="1" x14ac:dyDescent="0.25">
      <c r="A65" s="1" t="s">
        <v>86</v>
      </c>
      <c r="B65" s="3">
        <v>83253</v>
      </c>
      <c r="C65" s="3">
        <v>76693</v>
      </c>
      <c r="D65" s="3">
        <v>83861</v>
      </c>
      <c r="E65" s="6">
        <f>E57+E59+E61+E63</f>
        <v>91861.19096801804</v>
      </c>
      <c r="F65" s="6">
        <f t="shared" ref="F65:G65" si="80">F57+F59+F61+F63</f>
        <v>94733.574555680534</v>
      </c>
      <c r="G65" s="6">
        <f t="shared" si="80"/>
        <v>101707.09751203304</v>
      </c>
    </row>
    <row r="66" spans="1:7" s="1" customFormat="1" x14ac:dyDescent="0.25">
      <c r="A66" s="1" t="s">
        <v>87</v>
      </c>
      <c r="B66" s="3">
        <v>244860</v>
      </c>
      <c r="C66" s="3">
        <v>243197</v>
      </c>
      <c r="D66" s="3">
        <v>252399</v>
      </c>
      <c r="E66" s="6">
        <f>E56+E65</f>
        <v>279040.3378548341</v>
      </c>
      <c r="F66" s="6">
        <f t="shared" ref="F66:G66" si="81">F56+F65</f>
        <v>290946.88347781822</v>
      </c>
      <c r="G66" s="6">
        <f t="shared" si="81"/>
        <v>309120.04603153316</v>
      </c>
    </row>
    <row r="67" spans="1:7" s="1" customFormat="1" x14ac:dyDescent="0.25">
      <c r="B67" s="3"/>
      <c r="C67" s="3"/>
      <c r="D67" s="3"/>
      <c r="E67" s="6">
        <f>E39-E66</f>
        <v>0.1217682856367901</v>
      </c>
      <c r="F67" s="6">
        <f t="shared" ref="F67:G67" si="82">F39-F66</f>
        <v>5.2485545340459794E-2</v>
      </c>
      <c r="G67" s="6">
        <f t="shared" si="82"/>
        <v>8.0422261613421142E-2</v>
      </c>
    </row>
    <row r="68" spans="1:7" x14ac:dyDescent="0.25">
      <c r="A68" t="s">
        <v>88</v>
      </c>
      <c r="B68" s="2">
        <v>8283.08</v>
      </c>
      <c r="C68" s="2">
        <v>8079.08</v>
      </c>
      <c r="D68" s="2">
        <v>8054</v>
      </c>
    </row>
    <row r="69" spans="1:7" x14ac:dyDescent="0.25">
      <c r="A69" t="s">
        <v>64</v>
      </c>
      <c r="B69" s="2">
        <v>8638</v>
      </c>
      <c r="C69" s="2">
        <v>7298</v>
      </c>
      <c r="D69" s="2">
        <v>6710</v>
      </c>
    </row>
    <row r="70" spans="1:7" x14ac:dyDescent="0.25">
      <c r="B70" s="2"/>
      <c r="C70" s="2"/>
      <c r="D70" s="2"/>
    </row>
    <row r="71" spans="1:7" x14ac:dyDescent="0.25">
      <c r="B71" s="71" t="s">
        <v>115</v>
      </c>
      <c r="C71" s="71"/>
      <c r="D71" s="71"/>
      <c r="E71" s="71" t="s">
        <v>114</v>
      </c>
      <c r="F71" s="71"/>
      <c r="G71" s="71"/>
    </row>
    <row r="72" spans="1:7" s="1" customFormat="1" x14ac:dyDescent="0.25">
      <c r="A72" s="1" t="s">
        <v>2</v>
      </c>
      <c r="B72" s="56">
        <v>44591</v>
      </c>
      <c r="C72" s="56">
        <v>44956</v>
      </c>
      <c r="D72" s="56">
        <v>45321</v>
      </c>
      <c r="E72" s="70">
        <v>45687</v>
      </c>
      <c r="F72" s="70">
        <v>46052</v>
      </c>
      <c r="G72" s="70">
        <v>46417</v>
      </c>
    </row>
    <row r="73" spans="1:7" x14ac:dyDescent="0.25">
      <c r="A73" t="s">
        <v>89</v>
      </c>
      <c r="B73" s="2">
        <v>13940</v>
      </c>
      <c r="C73" s="2">
        <v>11292</v>
      </c>
      <c r="D73" s="2">
        <v>16270</v>
      </c>
      <c r="E73" s="4">
        <f>E21</f>
        <v>15720.492015677268</v>
      </c>
      <c r="F73" s="4">
        <f t="shared" ref="F73:G73" si="83">F21</f>
        <v>16222.770203338116</v>
      </c>
      <c r="G73" s="4">
        <f t="shared" si="83"/>
        <v>18451.861291290479</v>
      </c>
    </row>
    <row r="74" spans="1:7" x14ac:dyDescent="0.25">
      <c r="A74" t="s">
        <v>90</v>
      </c>
      <c r="B74" s="2">
        <v>10658</v>
      </c>
      <c r="C74" s="2">
        <v>10945</v>
      </c>
      <c r="D74" s="2">
        <v>11853</v>
      </c>
      <c r="E74" s="4">
        <f>E75*E3</f>
        <v>12594.350856930621</v>
      </c>
      <c r="F74" s="4">
        <f>F75*F3</f>
        <v>13292.096822597114</v>
      </c>
      <c r="G74" s="4">
        <f>G75*G3</f>
        <v>14192.546404248347</v>
      </c>
    </row>
    <row r="75" spans="1:7" s="57" customFormat="1" x14ac:dyDescent="0.25">
      <c r="B75" s="58">
        <f>B74/B3</f>
        <v>1.8608337960101546E-2</v>
      </c>
      <c r="C75" s="58">
        <f>C74/C3</f>
        <v>1.7904788078961016E-2</v>
      </c>
      <c r="D75" s="58">
        <f>D74/D3</f>
        <v>1.8288138862102218E-2</v>
      </c>
      <c r="E75" s="59">
        <f>AVERAGE(B75:D75)</f>
        <v>1.826708830038826E-2</v>
      </c>
      <c r="F75" s="59">
        <f t="shared" ref="F75:G75" si="84">AVERAGE(C75:E75)</f>
        <v>1.8153338413817166E-2</v>
      </c>
      <c r="G75" s="59">
        <f t="shared" si="84"/>
        <v>1.8236188525435879E-2</v>
      </c>
    </row>
    <row r="76" spans="1:7" x14ac:dyDescent="0.25">
      <c r="A76" t="s">
        <v>91</v>
      </c>
      <c r="B76" s="2">
        <v>-755</v>
      </c>
      <c r="C76" s="2">
        <v>449</v>
      </c>
      <c r="D76" s="2">
        <v>-175</v>
      </c>
      <c r="E76" s="4">
        <f>E77*E3</f>
        <v>-196.19354022926231</v>
      </c>
      <c r="F76" s="4">
        <f t="shared" ref="F76:G76" si="85">F77*F3</f>
        <v>43.918320756698407</v>
      </c>
      <c r="G76" s="4">
        <f t="shared" si="85"/>
        <v>-128.30756530537201</v>
      </c>
    </row>
    <row r="77" spans="1:7" x14ac:dyDescent="0.25">
      <c r="B77" s="7">
        <f>B76/B3</f>
        <v>-1.3181924526061799E-3</v>
      </c>
      <c r="C77" s="7">
        <f t="shared" ref="C77:D77" si="86">C76/C3</f>
        <v>7.345134625357237E-4</v>
      </c>
      <c r="D77" s="7">
        <f t="shared" si="86"/>
        <v>-2.700096432015429E-4</v>
      </c>
      <c r="E77" s="63">
        <f>AVERAGE(B77:D77)</f>
        <v>-2.8456287775733305E-4</v>
      </c>
      <c r="F77" s="63">
        <f t="shared" ref="F77:G77" si="87">AVERAGE(C77:E77)</f>
        <v>5.9980313858949252E-5</v>
      </c>
      <c r="G77" s="63">
        <f t="shared" si="87"/>
        <v>-1.6486406903330891E-4</v>
      </c>
    </row>
    <row r="78" spans="1:7" x14ac:dyDescent="0.25">
      <c r="A78" t="s">
        <v>92</v>
      </c>
      <c r="B78" s="2">
        <v>6935</v>
      </c>
      <c r="C78" s="2">
        <v>3602</v>
      </c>
      <c r="D78" s="2">
        <v>5835</v>
      </c>
      <c r="E78" s="4">
        <f>E79*E3</f>
        <v>6205.9126624467717</v>
      </c>
      <c r="F78" s="4">
        <f t="shared" ref="F78:G78" si="88">F79*F3</f>
        <v>5832.4451028990879</v>
      </c>
      <c r="G78" s="4">
        <f t="shared" si="88"/>
        <v>6737.0521534191739</v>
      </c>
    </row>
    <row r="79" spans="1:7" x14ac:dyDescent="0.25">
      <c r="B79" s="7">
        <f>B78/B3</f>
        <v>1.2108165111024978E-2</v>
      </c>
      <c r="C79" s="7">
        <f t="shared" ref="C79:D79" si="89">C78/C3</f>
        <v>5.8924665747297923E-3</v>
      </c>
      <c r="D79" s="7">
        <f t="shared" si="89"/>
        <v>9.0028929604628743E-3</v>
      </c>
      <c r="E79" s="63">
        <f>AVERAGE(B79:D79)</f>
        <v>9.0011748820725476E-3</v>
      </c>
      <c r="F79" s="63">
        <f t="shared" ref="F79:G79" si="90">AVERAGE(C79:E79)</f>
        <v>7.9655114724217369E-3</v>
      </c>
      <c r="G79" s="63">
        <f t="shared" si="90"/>
        <v>8.6565264383190524E-3</v>
      </c>
    </row>
    <row r="80" spans="1:7" x14ac:dyDescent="0.25">
      <c r="A80" t="s">
        <v>93</v>
      </c>
      <c r="B80" s="2">
        <v>-4749</v>
      </c>
      <c r="C80" s="2">
        <v>2553</v>
      </c>
      <c r="D80" s="2">
        <v>1943</v>
      </c>
      <c r="E80" s="4">
        <f>E81*E3</f>
        <v>2473.1812495566278</v>
      </c>
      <c r="F80" s="4">
        <f t="shared" ref="F80:G80" si="91">F81*F3</f>
        <v>2410.8191188054298</v>
      </c>
      <c r="G80" s="4">
        <f t="shared" si="91"/>
        <v>2677.0929902793532</v>
      </c>
    </row>
    <row r="81" spans="1:7" s="57" customFormat="1" x14ac:dyDescent="0.25">
      <c r="B81" s="58">
        <f>B80/B3</f>
        <v>-8.2915178244062897E-3</v>
      </c>
      <c r="C81" s="58">
        <f t="shared" ref="C81:D81" si="92">C80/C3</f>
        <v>4.176420645553903E-3</v>
      </c>
      <c r="D81" s="58">
        <f t="shared" si="92"/>
        <v>2.9978784956605593E-3</v>
      </c>
      <c r="E81" s="58">
        <f>AVERAGE(C81:D81)</f>
        <v>3.5871495706072311E-3</v>
      </c>
      <c r="F81" s="58">
        <f t="shared" ref="F81:G81" si="93">AVERAGE(D81:E81)</f>
        <v>3.2925140331338952E-3</v>
      </c>
      <c r="G81" s="58">
        <f t="shared" si="93"/>
        <v>3.439831801870563E-3</v>
      </c>
    </row>
    <row r="82" spans="1:7" s="1" customFormat="1" x14ac:dyDescent="0.25">
      <c r="A82" s="1" t="s">
        <v>94</v>
      </c>
      <c r="B82" s="3">
        <v>26029</v>
      </c>
      <c r="C82" s="3">
        <v>28841</v>
      </c>
      <c r="D82" s="3">
        <v>35726</v>
      </c>
      <c r="E82" s="6">
        <f>E73+E74+E76+E78+E80</f>
        <v>36797.743244382029</v>
      </c>
      <c r="F82" s="6">
        <f t="shared" ref="F82:G82" si="94">F73+F74+F76+F78+F80</f>
        <v>37802.04956839644</v>
      </c>
      <c r="G82" s="6">
        <f t="shared" si="94"/>
        <v>41930.245273931978</v>
      </c>
    </row>
    <row r="83" spans="1:7" x14ac:dyDescent="0.25">
      <c r="A83" t="s">
        <v>95</v>
      </c>
      <c r="B83" s="2">
        <v>-13106</v>
      </c>
      <c r="C83" s="2">
        <v>-16857</v>
      </c>
      <c r="D83" s="2">
        <v>-20606</v>
      </c>
      <c r="E83" s="4">
        <f>E84*E3</f>
        <v>-18903.001421788809</v>
      </c>
      <c r="F83" s="4">
        <f>F84*F3</f>
        <v>-21182.090320221647</v>
      </c>
      <c r="G83" s="4">
        <f>G84*G3</f>
        <v>-22865.209281556163</v>
      </c>
    </row>
    <row r="84" spans="1:7" s="57" customFormat="1" x14ac:dyDescent="0.25">
      <c r="B84" s="58">
        <f>B83/B3</f>
        <v>-2.2882424217028602E-2</v>
      </c>
      <c r="C84" s="58">
        <f>C83/C3</f>
        <v>-2.7576154650255445E-2</v>
      </c>
      <c r="D84" s="58">
        <f>D83/D3</f>
        <v>-3.1793249758919964E-2</v>
      </c>
      <c r="E84" s="59">
        <f>AVERAGE(B84:D84)</f>
        <v>-2.7417276208734669E-2</v>
      </c>
      <c r="F84" s="59">
        <f t="shared" ref="F84:G84" si="95">AVERAGE(C84:E84)</f>
        <v>-2.892889353930336E-2</v>
      </c>
      <c r="G84" s="59">
        <f t="shared" si="95"/>
        <v>-2.9379806502319333E-2</v>
      </c>
    </row>
    <row r="85" spans="1:7" x14ac:dyDescent="0.25">
      <c r="A85" t="s">
        <v>96</v>
      </c>
      <c r="B85" s="2">
        <v>7091</v>
      </c>
      <c r="C85" s="2">
        <v>-865</v>
      </c>
      <c r="D85" s="2">
        <v>-681</v>
      </c>
      <c r="E85" s="4">
        <f>E86*E3</f>
        <v>2278.5981391061123</v>
      </c>
      <c r="F85" s="5">
        <f t="shared" ref="F85:G85" si="96">F86*F3</f>
        <v>204.81358444829351</v>
      </c>
      <c r="G85" s="5">
        <f t="shared" si="96"/>
        <v>657.35136985736142</v>
      </c>
    </row>
    <row r="86" spans="1:7" s="57" customFormat="1" x14ac:dyDescent="0.25">
      <c r="B86" s="58">
        <f>B85/B3</f>
        <v>1.2380533352887977E-2</v>
      </c>
      <c r="C86" s="58">
        <f t="shared" ref="C86:D86" si="97">C85/C3</f>
        <v>-1.4150426394062383E-3</v>
      </c>
      <c r="D86" s="58">
        <f t="shared" si="97"/>
        <v>-1.0507232401157185E-3</v>
      </c>
      <c r="E86" s="59">
        <f>AVERAGE(B86:D86)</f>
        <v>3.3049224911220064E-3</v>
      </c>
      <c r="F86" s="59">
        <f t="shared" ref="F86:G86" si="98">AVERAGE(C86:E86)</f>
        <v>2.7971887053334981E-4</v>
      </c>
      <c r="G86" s="59">
        <f t="shared" si="98"/>
        <v>8.4463937384654595E-4</v>
      </c>
    </row>
    <row r="87" spans="1:7" s="1" customFormat="1" x14ac:dyDescent="0.25">
      <c r="A87" s="1" t="s">
        <v>97</v>
      </c>
      <c r="B87" s="3">
        <v>-6015</v>
      </c>
      <c r="C87" s="3">
        <v>-17722</v>
      </c>
      <c r="D87" s="3">
        <v>-21287</v>
      </c>
      <c r="E87" s="6">
        <f>E83+E85</f>
        <v>-16624.403282682695</v>
      </c>
      <c r="F87" s="6">
        <f t="shared" ref="F87:G87" si="99">F83+F85</f>
        <v>-20977.276735773354</v>
      </c>
      <c r="G87" s="6">
        <f t="shared" si="99"/>
        <v>-22207.8579116988</v>
      </c>
    </row>
    <row r="88" spans="1:7" x14ac:dyDescent="0.25">
      <c r="A88" t="s">
        <v>98</v>
      </c>
      <c r="B88" s="2">
        <v>-1017</v>
      </c>
      <c r="C88" s="2">
        <v>-3323</v>
      </c>
      <c r="D88" s="2">
        <v>-5757</v>
      </c>
      <c r="E88" s="5">
        <f>E89*E3</f>
        <v>-3698.7539419898408</v>
      </c>
      <c r="F88" s="5">
        <f t="shared" ref="F88:G88" si="100">F89*F3</f>
        <v>-4804.1284358237399</v>
      </c>
      <c r="G88" s="5">
        <f t="shared" si="100"/>
        <v>-5398.135317904439</v>
      </c>
    </row>
    <row r="89" spans="1:7" s="57" customFormat="1" x14ac:dyDescent="0.25">
      <c r="B89" s="58">
        <f>B88/B3</f>
        <v>-1.7756314229145497E-3</v>
      </c>
      <c r="C89" s="58">
        <f t="shared" ref="C89:D89" si="101">C88/C3</f>
        <v>-5.4360539777421153E-3</v>
      </c>
      <c r="D89" s="58">
        <f t="shared" si="101"/>
        <v>-8.8825458052073283E-3</v>
      </c>
      <c r="E89" s="59">
        <f>AVERAGE(B89:D89)</f>
        <v>-5.364743735287998E-3</v>
      </c>
      <c r="F89" s="59">
        <f t="shared" ref="F89:G89" si="102">AVERAGE(C89:E89)</f>
        <v>-6.5611145060791472E-3</v>
      </c>
      <c r="G89" s="59">
        <f t="shared" si="102"/>
        <v>-6.9361346821914908E-3</v>
      </c>
    </row>
    <row r="90" spans="1:7" x14ac:dyDescent="0.25">
      <c r="A90" t="s">
        <v>99</v>
      </c>
      <c r="B90" s="2">
        <v>-6152</v>
      </c>
      <c r="C90" s="2">
        <v>-6114</v>
      </c>
      <c r="D90" s="2">
        <v>-6140</v>
      </c>
      <c r="E90" s="4">
        <f>E91*E3</f>
        <v>-6944.287341633627</v>
      </c>
      <c r="F90" s="4">
        <f t="shared" ref="F90:G90" si="103">F91*F3</f>
        <v>-7211.662144386607</v>
      </c>
      <c r="G90" s="4">
        <f t="shared" si="103"/>
        <v>-7625.6132036196068</v>
      </c>
    </row>
    <row r="91" spans="1:7" s="57" customFormat="1" x14ac:dyDescent="0.25">
      <c r="B91" s="58">
        <f>B90/B3</f>
        <v>-1.0741086050904926E-2</v>
      </c>
      <c r="C91" s="58">
        <f t="shared" ref="C91:D91" si="104">C90/C3</f>
        <v>-1.0001815835063285E-2</v>
      </c>
      <c r="D91" s="58">
        <f t="shared" si="104"/>
        <v>-9.4734811957569911E-3</v>
      </c>
      <c r="E91" s="59">
        <f>AVERAGE(B91:D91)</f>
        <v>-1.0072127693908401E-2</v>
      </c>
      <c r="F91" s="59">
        <f t="shared" ref="F91:G91" si="105">AVERAGE(C91:E91)</f>
        <v>-9.849141574909558E-3</v>
      </c>
      <c r="G91" s="59">
        <f t="shared" si="105"/>
        <v>-9.7982501548583168E-3</v>
      </c>
    </row>
    <row r="92" spans="1:7" x14ac:dyDescent="0.25">
      <c r="A92" t="s">
        <v>100</v>
      </c>
      <c r="B92" s="2">
        <v>-9787</v>
      </c>
      <c r="C92" s="2">
        <v>-9920</v>
      </c>
      <c r="D92" s="2">
        <v>-2779</v>
      </c>
      <c r="E92" s="4">
        <f>E93*E3</f>
        <v>-8641.9548791111793</v>
      </c>
      <c r="F92" s="4">
        <f t="shared" ref="F92:G92" si="106">F93*F3</f>
        <v>-8066.5905215714183</v>
      </c>
      <c r="G92" s="4">
        <f t="shared" si="106"/>
        <v>-7222.005594883839</v>
      </c>
    </row>
    <row r="93" spans="1:7" s="57" customFormat="1" x14ac:dyDescent="0.25">
      <c r="B93" s="58">
        <f>B92/B3</f>
        <v>-1.7087615276366468E-2</v>
      </c>
      <c r="C93" s="58">
        <f t="shared" ref="C93:D93" si="107">C92/C3</f>
        <v>-1.6228003448450733E-2</v>
      </c>
      <c r="D93" s="58">
        <f t="shared" si="107"/>
        <v>-4.2877531340405018E-3</v>
      </c>
      <c r="E93" s="59">
        <f>AVERAGE(B93:D93)</f>
        <v>-1.2534457286285898E-2</v>
      </c>
      <c r="F93" s="59">
        <f t="shared" ref="F93:G93" si="108">AVERAGE(C93:E93)</f>
        <v>-1.1016737956259045E-2</v>
      </c>
      <c r="G93" s="59">
        <f t="shared" si="108"/>
        <v>-9.2796494588618158E-3</v>
      </c>
    </row>
    <row r="94" spans="1:7" x14ac:dyDescent="0.25">
      <c r="A94" t="s">
        <v>101</v>
      </c>
      <c r="B94" s="2">
        <v>-5872</v>
      </c>
      <c r="C94" s="2">
        <v>2318</v>
      </c>
      <c r="D94" s="2">
        <v>1262</v>
      </c>
      <c r="E94" s="4">
        <f>E95*E3</f>
        <v>-1037.1892536606292</v>
      </c>
      <c r="F94" s="4">
        <f t="shared" ref="F94:G94" si="109">F95*F3</f>
        <v>1033.5867024326415</v>
      </c>
      <c r="G94" s="4">
        <f t="shared" si="109"/>
        <v>481.06767073816894</v>
      </c>
    </row>
    <row r="95" spans="1:7" s="57" customFormat="1" x14ac:dyDescent="0.25">
      <c r="B95" s="58">
        <f>B94/B3</f>
        <v>-1.0252219975766211E-2</v>
      </c>
      <c r="C95" s="58">
        <f t="shared" ref="C95:D95" si="110">C94/C3</f>
        <v>3.7919870961198388E-3</v>
      </c>
      <c r="D95" s="58">
        <f t="shared" si="110"/>
        <v>1.9471552555448408E-3</v>
      </c>
      <c r="E95" s="59">
        <f>AVERAGE(B95:D95)</f>
        <v>-1.5043592080338439E-3</v>
      </c>
      <c r="F95" s="59">
        <f t="shared" ref="F95:G95" si="111">AVERAGE(C95:E95)</f>
        <v>1.4115943812102784E-3</v>
      </c>
      <c r="G95" s="59">
        <f t="shared" si="111"/>
        <v>6.1813014290709181E-4</v>
      </c>
    </row>
    <row r="96" spans="1:7" s="1" customFormat="1" x14ac:dyDescent="0.25">
      <c r="A96" s="1" t="s">
        <v>102</v>
      </c>
      <c r="B96" s="3">
        <v>-22828</v>
      </c>
      <c r="C96" s="3">
        <v>-17039</v>
      </c>
      <c r="D96" s="3">
        <v>-13414</v>
      </c>
      <c r="E96" s="64">
        <f>E88+E90+E92+E94</f>
        <v>-20322.185416395278</v>
      </c>
      <c r="F96" s="64">
        <f t="shared" ref="F96:G96" si="112">F88+F90+F92+F94</f>
        <v>-19048.794399349124</v>
      </c>
      <c r="G96" s="64">
        <f t="shared" si="112"/>
        <v>-19764.686445669715</v>
      </c>
    </row>
    <row r="97" spans="1:7" x14ac:dyDescent="0.25">
      <c r="A97" t="s">
        <v>103</v>
      </c>
      <c r="B97" s="2">
        <v>-140</v>
      </c>
      <c r="C97" s="2">
        <v>-73</v>
      </c>
      <c r="D97" s="2">
        <v>69</v>
      </c>
      <c r="E97" s="4">
        <f>E98*E3</f>
        <v>-59.153444717419802</v>
      </c>
      <c r="F97" s="4">
        <f t="shared" ref="F97:G97" si="113">F98*F3</f>
        <v>-24.103482918221896</v>
      </c>
      <c r="G97" s="4">
        <f t="shared" si="113"/>
        <v>-3.1792181832860611</v>
      </c>
    </row>
    <row r="98" spans="1:7" s="57" customFormat="1" x14ac:dyDescent="0.25">
      <c r="B98" s="58">
        <f>B97/B3</f>
        <v>-2.444330375693579E-4</v>
      </c>
      <c r="C98" s="58">
        <f t="shared" ref="C98:D98" si="114">C97/C3</f>
        <v>-1.194197834412201E-4</v>
      </c>
      <c r="D98" s="58">
        <f t="shared" si="114"/>
        <v>1.064609450337512E-4</v>
      </c>
      <c r="E98" s="59">
        <f>AVERAGE(B98:D98)</f>
        <v>-8.5797291992275606E-5</v>
      </c>
      <c r="F98" s="59">
        <f t="shared" ref="F98:G98" si="115">AVERAGE(C98:E98)</f>
        <v>-3.291871013324817E-5</v>
      </c>
      <c r="G98" s="59">
        <f t="shared" si="115"/>
        <v>-4.0850190305908593E-6</v>
      </c>
    </row>
    <row r="99" spans="1:7" x14ac:dyDescent="0.25">
      <c r="A99" t="s">
        <v>104</v>
      </c>
      <c r="B99" s="2">
        <v>-2954</v>
      </c>
      <c r="C99" s="2">
        <v>-5993</v>
      </c>
      <c r="D99" s="2">
        <v>1094</v>
      </c>
      <c r="E99" s="4">
        <f>E82+E87+E96+E97</f>
        <v>-207.99889941336357</v>
      </c>
      <c r="F99" s="4">
        <f t="shared" ref="F99:G99" si="116">F82+F87+F96+F97</f>
        <v>-2248.1250496442599</v>
      </c>
      <c r="G99" s="4">
        <f t="shared" si="116"/>
        <v>-45.478301619823391</v>
      </c>
    </row>
  </sheetData>
  <mergeCells count="6">
    <mergeCell ref="E1:G1"/>
    <mergeCell ref="B1:D1"/>
    <mergeCell ref="B24:D24"/>
    <mergeCell ref="E24:G24"/>
    <mergeCell ref="B71:D71"/>
    <mergeCell ref="E71:G7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6" workbookViewId="0">
      <selection activeCell="H35" sqref="H35"/>
    </sheetView>
  </sheetViews>
  <sheetFormatPr defaultRowHeight="15" x14ac:dyDescent="0.25"/>
  <cols>
    <col min="1" max="1" width="64" customWidth="1"/>
    <col min="2" max="2" width="14.85546875" customWidth="1"/>
    <col min="3" max="3" width="15.140625" customWidth="1"/>
    <col min="4" max="4" width="14.7109375" customWidth="1"/>
    <col min="5" max="5" width="13.42578125" customWidth="1"/>
    <col min="6" max="6" width="11.5703125" bestFit="1" customWidth="1"/>
    <col min="7" max="8" width="12.5703125" bestFit="1" customWidth="1"/>
  </cols>
  <sheetData>
    <row r="1" spans="1:5" ht="15.75" x14ac:dyDescent="0.25">
      <c r="A1" s="8" t="s">
        <v>47</v>
      </c>
    </row>
    <row r="2" spans="1:5" ht="15.75" x14ac:dyDescent="0.25">
      <c r="A2" s="8" t="s">
        <v>5</v>
      </c>
    </row>
    <row r="3" spans="1:5" ht="15.75" x14ac:dyDescent="0.25">
      <c r="A3" s="9" t="s">
        <v>52</v>
      </c>
    </row>
    <row r="4" spans="1:5" ht="15.75" x14ac:dyDescent="0.25">
      <c r="A4" s="10" t="s">
        <v>6</v>
      </c>
      <c r="B4" s="11"/>
      <c r="C4" s="11"/>
      <c r="D4" s="11"/>
      <c r="E4" s="11"/>
    </row>
    <row r="5" spans="1:5" ht="15.75" x14ac:dyDescent="0.25">
      <c r="A5" s="12" t="s">
        <v>7</v>
      </c>
      <c r="B5" s="13" t="s">
        <v>129</v>
      </c>
      <c r="C5" s="14" t="s">
        <v>130</v>
      </c>
      <c r="D5" s="14" t="s">
        <v>131</v>
      </c>
      <c r="E5" s="14" t="s">
        <v>132</v>
      </c>
    </row>
    <row r="6" spans="1:5" ht="15.75" x14ac:dyDescent="0.25">
      <c r="A6" s="15" t="s">
        <v>8</v>
      </c>
      <c r="B6" s="16"/>
      <c r="C6" s="17">
        <f>'Walmart Inc Financials'!E3</f>
        <v>689455.84812566615</v>
      </c>
      <c r="D6" s="17">
        <f>'Walmart Inc Financials'!F3</f>
        <v>732212.2531732244</v>
      </c>
      <c r="E6" s="17">
        <f>'Walmart Inc Financials'!G3</f>
        <v>778262.75948247348</v>
      </c>
    </row>
    <row r="7" spans="1:5" ht="15.75" x14ac:dyDescent="0.25">
      <c r="A7" s="15" t="s">
        <v>9</v>
      </c>
      <c r="B7" s="16"/>
      <c r="C7" s="17">
        <f>'Walmart Inc Financials'!E5+'Walmart Inc Financials'!E8</f>
        <v>-663076.34906100621</v>
      </c>
      <c r="D7" s="17">
        <f>'Walmart Inc Financials'!F5+'Walmart Inc Financials'!F8</f>
        <v>-704545.27483940707</v>
      </c>
      <c r="E7" s="17">
        <f>'Walmart Inc Financials'!G5+'Walmart Inc Financials'!G8</f>
        <v>-747722.70677426155</v>
      </c>
    </row>
    <row r="8" spans="1:5" ht="15.75" x14ac:dyDescent="0.25">
      <c r="A8" s="21" t="s">
        <v>10</v>
      </c>
      <c r="B8" s="22"/>
      <c r="C8" s="23">
        <f>SUM(C6:C7)</f>
        <v>26379.499064659933</v>
      </c>
      <c r="D8" s="23">
        <f>SUM(D6:D7)</f>
        <v>27666.978333817329</v>
      </c>
      <c r="E8" s="23">
        <f>SUM(E6:E7)</f>
        <v>30540.052708211937</v>
      </c>
    </row>
    <row r="9" spans="1:5" ht="15.75" x14ac:dyDescent="0.25">
      <c r="A9" s="18" t="s">
        <v>11</v>
      </c>
      <c r="B9" s="19"/>
      <c r="C9" s="20">
        <f>'Walmart Inc Financials'!E16</f>
        <v>-6111.152836500064</v>
      </c>
      <c r="D9" s="20">
        <f>'Walmart Inc Financials'!F16</f>
        <v>-6616.0340556941765</v>
      </c>
      <c r="E9" s="20">
        <f>'Walmart Inc Financials'!G16</f>
        <v>-6892.2492248060116</v>
      </c>
    </row>
    <row r="10" spans="1:5" ht="15.75" x14ac:dyDescent="0.25">
      <c r="A10" s="21" t="s">
        <v>12</v>
      </c>
      <c r="B10" s="22"/>
      <c r="C10" s="23">
        <f>C8+C9</f>
        <v>20268.346228159869</v>
      </c>
      <c r="D10" s="23">
        <f t="shared" ref="D10:E10" si="0">D8+D9</f>
        <v>21050.944278123152</v>
      </c>
      <c r="E10" s="23">
        <f t="shared" si="0"/>
        <v>23647.803483405925</v>
      </c>
    </row>
    <row r="11" spans="1:5" ht="15.75" x14ac:dyDescent="0.25">
      <c r="A11" s="18" t="s">
        <v>13</v>
      </c>
      <c r="B11" s="19"/>
      <c r="C11" s="20">
        <f>'Walmart Inc Financials'!E74</f>
        <v>12594.350856930621</v>
      </c>
      <c r="D11" s="20">
        <f>'Walmart Inc Financials'!F74</f>
        <v>13292.096822597114</v>
      </c>
      <c r="E11" s="20">
        <f>'Walmart Inc Financials'!G74</f>
        <v>14192.546404248347</v>
      </c>
    </row>
    <row r="12" spans="1:5" ht="16.5" thickBot="1" x14ac:dyDescent="0.3">
      <c r="A12" s="24" t="s">
        <v>14</v>
      </c>
      <c r="B12" s="25"/>
      <c r="C12" s="26">
        <f>C10+C11</f>
        <v>32862.697085090491</v>
      </c>
      <c r="D12" s="26">
        <f t="shared" ref="D12:E12" si="1">D10+D11</f>
        <v>34343.041100720264</v>
      </c>
      <c r="E12" s="26">
        <f t="shared" si="1"/>
        <v>37840.349887654273</v>
      </c>
    </row>
    <row r="13" spans="1:5" ht="16.5" thickTop="1" x14ac:dyDescent="0.25">
      <c r="A13" s="27"/>
      <c r="B13" s="27"/>
      <c r="C13" s="28"/>
      <c r="D13" s="28"/>
      <c r="E13" s="28"/>
    </row>
    <row r="14" spans="1:5" ht="15.75" x14ac:dyDescent="0.25">
      <c r="A14" s="12" t="s">
        <v>15</v>
      </c>
      <c r="B14" s="29"/>
      <c r="C14" s="30"/>
      <c r="D14" s="30"/>
      <c r="E14" s="30"/>
    </row>
    <row r="15" spans="1:5" ht="15.75" x14ac:dyDescent="0.25">
      <c r="A15" s="15" t="s">
        <v>16</v>
      </c>
      <c r="B15" s="16"/>
      <c r="C15" s="17">
        <f>'Walmart Inc Financials'!E83</f>
        <v>-18903.001421788809</v>
      </c>
      <c r="D15" s="17">
        <f>'Walmart Inc Financials'!F83</f>
        <v>-21182.090320221647</v>
      </c>
      <c r="E15" s="17">
        <f>'Walmart Inc Financials'!G83</f>
        <v>-22865.209281556163</v>
      </c>
    </row>
    <row r="16" spans="1:5" ht="15.75" x14ac:dyDescent="0.25">
      <c r="A16" s="31" t="s">
        <v>17</v>
      </c>
      <c r="B16" s="17">
        <f>'Walmart Inc Financials'!D80</f>
        <v>1943</v>
      </c>
      <c r="C16" s="17">
        <f>'Walmart Inc Financials'!E80</f>
        <v>2473.1812495566278</v>
      </c>
      <c r="D16" s="17">
        <f>'Walmart Inc Financials'!F80</f>
        <v>2410.8191188054298</v>
      </c>
      <c r="E16" s="17">
        <f>'Walmart Inc Financials'!G80</f>
        <v>2677.0929902793532</v>
      </c>
    </row>
    <row r="17" spans="1:5" ht="15.75" x14ac:dyDescent="0.25">
      <c r="A17" s="18" t="s">
        <v>18</v>
      </c>
      <c r="B17" s="32"/>
      <c r="C17" s="20">
        <f>C16-B16</f>
        <v>530.18124955662779</v>
      </c>
      <c r="D17" s="20">
        <f t="shared" ref="D17:E17" si="2">D16-C16</f>
        <v>-62.362130751198038</v>
      </c>
      <c r="E17" s="20">
        <f t="shared" si="2"/>
        <v>266.27387147392346</v>
      </c>
    </row>
    <row r="18" spans="1:5" ht="16.5" thickBot="1" x14ac:dyDescent="0.3">
      <c r="A18" s="24" t="s">
        <v>15</v>
      </c>
      <c r="B18" s="33"/>
      <c r="C18" s="26">
        <f>C15+C17</f>
        <v>-18372.820172232183</v>
      </c>
      <c r="D18" s="26">
        <f t="shared" ref="D18:E18" si="3">D15+D17</f>
        <v>-21244.452450972844</v>
      </c>
      <c r="E18" s="26">
        <f t="shared" si="3"/>
        <v>-22598.935410082238</v>
      </c>
    </row>
    <row r="19" spans="1:5" ht="16.5" thickTop="1" x14ac:dyDescent="0.25">
      <c r="A19" s="27"/>
      <c r="B19" s="27"/>
      <c r="C19" s="27"/>
      <c r="D19" s="27"/>
      <c r="E19" s="27"/>
    </row>
    <row r="20" spans="1:5" ht="15.75" x14ac:dyDescent="0.25">
      <c r="A20" s="12" t="s">
        <v>19</v>
      </c>
      <c r="B20" s="13" t="s">
        <v>129</v>
      </c>
      <c r="C20" s="14" t="s">
        <v>130</v>
      </c>
      <c r="D20" s="14" t="s">
        <v>131</v>
      </c>
      <c r="E20" s="14" t="s">
        <v>132</v>
      </c>
    </row>
    <row r="21" spans="1:5" ht="16.5" thickBot="1" x14ac:dyDescent="0.3">
      <c r="A21" s="24" t="s">
        <v>20</v>
      </c>
      <c r="B21" s="34"/>
      <c r="C21" s="26">
        <f>C12+C18</f>
        <v>14489.876912858308</v>
      </c>
      <c r="D21" s="26">
        <f t="shared" ref="D21:E21" si="4">D12+D18</f>
        <v>13098.58864974742</v>
      </c>
      <c r="E21" s="26">
        <f t="shared" si="4"/>
        <v>15241.414477572034</v>
      </c>
    </row>
    <row r="22" spans="1:5" ht="16.5" thickTop="1" x14ac:dyDescent="0.25">
      <c r="A22" s="27"/>
      <c r="B22" s="27"/>
      <c r="C22" s="27"/>
      <c r="D22" s="27"/>
      <c r="E22" s="27"/>
    </row>
    <row r="23" spans="1:5" ht="15.75" x14ac:dyDescent="0.25">
      <c r="A23" s="12" t="s">
        <v>21</v>
      </c>
      <c r="B23" s="29" t="s">
        <v>22</v>
      </c>
      <c r="C23" s="30"/>
      <c r="D23" s="30"/>
      <c r="E23" s="30"/>
    </row>
    <row r="24" spans="1:5" ht="15.75" x14ac:dyDescent="0.25">
      <c r="A24" s="15" t="s">
        <v>23</v>
      </c>
      <c r="B24" s="35">
        <f>28%</f>
        <v>0.28000000000000003</v>
      </c>
      <c r="C24" s="27" t="s">
        <v>110</v>
      </c>
      <c r="D24" s="27"/>
      <c r="E24" s="27"/>
    </row>
    <row r="25" spans="1:5" ht="15.75" x14ac:dyDescent="0.25">
      <c r="A25" s="15" t="s">
        <v>24</v>
      </c>
      <c r="B25" s="35">
        <v>4.4999999999999998E-2</v>
      </c>
      <c r="C25" s="27" t="s">
        <v>25</v>
      </c>
      <c r="D25" s="27"/>
      <c r="E25" s="36"/>
    </row>
    <row r="26" spans="1:5" ht="15.75" x14ac:dyDescent="0.25">
      <c r="A26" s="15" t="s">
        <v>26</v>
      </c>
      <c r="B26" s="35">
        <v>8.3000000000000004E-2</v>
      </c>
      <c r="C26" s="27" t="s">
        <v>25</v>
      </c>
      <c r="D26" s="27"/>
      <c r="E26" s="27"/>
    </row>
    <row r="27" spans="1:5" ht="15.75" x14ac:dyDescent="0.25">
      <c r="A27" s="15" t="s">
        <v>27</v>
      </c>
      <c r="B27" s="35">
        <v>0.15</v>
      </c>
      <c r="C27" s="27" t="s">
        <v>25</v>
      </c>
      <c r="D27" s="27"/>
      <c r="E27" s="27"/>
    </row>
    <row r="28" spans="1:5" ht="16.5" thickBot="1" x14ac:dyDescent="0.3">
      <c r="A28" s="24" t="s">
        <v>28</v>
      </c>
      <c r="B28" s="37">
        <f>B25*(1-B24)*B27+B26*(1-B27)</f>
        <v>7.5410000000000005E-2</v>
      </c>
      <c r="C28" s="27"/>
      <c r="D28" s="27"/>
      <c r="E28" s="27"/>
    </row>
    <row r="29" spans="1:5" ht="16.5" thickTop="1" x14ac:dyDescent="0.25">
      <c r="A29" s="27"/>
      <c r="B29" s="27"/>
      <c r="C29" s="27"/>
      <c r="D29" s="27"/>
      <c r="E29" s="27"/>
    </row>
    <row r="30" spans="1:5" ht="15.75" x14ac:dyDescent="0.25">
      <c r="A30" s="12" t="s">
        <v>29</v>
      </c>
      <c r="B30" s="13" t="s">
        <v>129</v>
      </c>
      <c r="C30" s="14" t="s">
        <v>130</v>
      </c>
      <c r="D30" s="14" t="s">
        <v>131</v>
      </c>
      <c r="E30" s="14" t="s">
        <v>132</v>
      </c>
    </row>
    <row r="31" spans="1:5" ht="15.75" x14ac:dyDescent="0.25">
      <c r="A31" s="15" t="s">
        <v>30</v>
      </c>
      <c r="B31" s="38"/>
      <c r="C31" s="46">
        <v>1</v>
      </c>
      <c r="D31" s="46">
        <v>2</v>
      </c>
      <c r="E31" s="46">
        <v>3</v>
      </c>
    </row>
    <row r="32" spans="1:5" ht="15.75" x14ac:dyDescent="0.25">
      <c r="A32" s="18" t="s">
        <v>31</v>
      </c>
      <c r="B32" s="39"/>
      <c r="C32" s="47">
        <f>1/(1+$B$28)^C31</f>
        <v>0.92987790703080686</v>
      </c>
      <c r="D32" s="47">
        <f t="shared" ref="D32:E32" si="5">1/(1+$B$28)^D31</f>
        <v>0.86467292198399381</v>
      </c>
      <c r="E32" s="47">
        <f t="shared" si="5"/>
        <v>0.80404024696068832</v>
      </c>
    </row>
    <row r="33" spans="1:5" ht="16.5" thickBot="1" x14ac:dyDescent="0.3">
      <c r="A33" s="24" t="s">
        <v>32</v>
      </c>
      <c r="B33" s="40"/>
      <c r="C33" s="48">
        <f>C21*C32</f>
        <v>13473.816416862692</v>
      </c>
      <c r="D33" s="48">
        <f t="shared" ref="D33:E33" si="6">D21*D32</f>
        <v>11325.994921643478</v>
      </c>
      <c r="E33" s="48">
        <f t="shared" si="6"/>
        <v>12254.71066057723</v>
      </c>
    </row>
    <row r="34" spans="1:5" ht="16.5" thickTop="1" x14ac:dyDescent="0.25">
      <c r="A34" s="27"/>
      <c r="B34" s="27"/>
      <c r="C34" s="27"/>
      <c r="D34" s="27"/>
      <c r="E34" s="27"/>
    </row>
    <row r="35" spans="1:5" ht="15.75" x14ac:dyDescent="0.25">
      <c r="A35" s="12" t="s">
        <v>33</v>
      </c>
      <c r="B35" s="13" t="s">
        <v>129</v>
      </c>
      <c r="C35" s="14" t="s">
        <v>130</v>
      </c>
      <c r="D35" s="14" t="s">
        <v>131</v>
      </c>
      <c r="E35" s="14" t="s">
        <v>132</v>
      </c>
    </row>
    <row r="36" spans="1:5" ht="15.75" x14ac:dyDescent="0.25">
      <c r="A36" s="27" t="s">
        <v>34</v>
      </c>
      <c r="B36" s="27"/>
      <c r="C36" s="27"/>
      <c r="D36" s="27"/>
      <c r="E36" s="41">
        <v>0.03</v>
      </c>
    </row>
    <row r="37" spans="1:5" ht="15.75" x14ac:dyDescent="0.25">
      <c r="A37" s="27" t="s">
        <v>35</v>
      </c>
      <c r="B37" s="27"/>
      <c r="C37" s="27"/>
      <c r="D37" s="27"/>
      <c r="E37" s="28">
        <f>E21*(1+E36)/(B28-E36)</f>
        <v>345709.24712396372</v>
      </c>
    </row>
    <row r="38" spans="1:5" ht="15.75" x14ac:dyDescent="0.25">
      <c r="A38" s="9" t="s">
        <v>36</v>
      </c>
      <c r="B38" s="9"/>
      <c r="C38" s="9"/>
      <c r="D38" s="9"/>
      <c r="E38" s="42">
        <f>E37*E32</f>
        <v>277964.14843414543</v>
      </c>
    </row>
    <row r="39" spans="1:5" ht="15.75" x14ac:dyDescent="0.25">
      <c r="A39" s="27"/>
      <c r="B39" s="27"/>
      <c r="C39" s="27"/>
      <c r="D39" s="27"/>
      <c r="E39" s="27"/>
    </row>
    <row r="40" spans="1:5" ht="15.75" x14ac:dyDescent="0.25">
      <c r="A40" s="12" t="s">
        <v>37</v>
      </c>
      <c r="B40" s="13" t="s">
        <v>129</v>
      </c>
      <c r="C40" s="30"/>
      <c r="D40" s="30"/>
      <c r="E40" s="30"/>
    </row>
    <row r="41" spans="1:5" ht="15.75" x14ac:dyDescent="0.25">
      <c r="A41" s="21" t="s">
        <v>51</v>
      </c>
      <c r="B41" s="49">
        <f>C33+D33+E33+E38</f>
        <v>315018.67043322884</v>
      </c>
      <c r="C41" s="27"/>
      <c r="D41" s="27"/>
      <c r="E41" s="27"/>
    </row>
    <row r="42" spans="1:5" ht="15.75" x14ac:dyDescent="0.25">
      <c r="A42" s="15" t="s">
        <v>38</v>
      </c>
      <c r="B42" s="49">
        <f>'Walmart Inc Financials'!D40+'Walmart Inc Financials'!D42+'Walmart Inc Financials'!D44+'Walmart Inc Financials'!D46+'Walmart Inc Financials'!D48</f>
        <v>97246</v>
      </c>
      <c r="C42" s="27"/>
      <c r="D42" s="27"/>
      <c r="E42" s="27"/>
    </row>
    <row r="43" spans="1:5" ht="15.75" x14ac:dyDescent="0.25">
      <c r="A43" s="15" t="s">
        <v>39</v>
      </c>
      <c r="B43" s="49">
        <f>'Walmart Inc Financials'!D50</f>
        <v>46891</v>
      </c>
      <c r="C43" s="27"/>
      <c r="D43" s="27"/>
      <c r="E43" s="27"/>
    </row>
    <row r="44" spans="1:5" ht="15.75" x14ac:dyDescent="0.25">
      <c r="A44" s="15" t="s">
        <v>40</v>
      </c>
      <c r="B44" s="49">
        <f>'Walmart Inc Financials'!D52+'Walmart Inc Financials'!D54</f>
        <v>24401</v>
      </c>
      <c r="C44" s="27"/>
      <c r="D44" s="27"/>
      <c r="E44" s="27"/>
    </row>
    <row r="45" spans="1:5" ht="15.75" x14ac:dyDescent="0.25">
      <c r="A45" s="15" t="s">
        <v>41</v>
      </c>
      <c r="B45" s="49">
        <f>'Walmart Inc Financials'!D26</f>
        <v>9867</v>
      </c>
      <c r="C45" s="27"/>
      <c r="D45" s="27"/>
      <c r="E45" s="27"/>
    </row>
    <row r="46" spans="1:5" ht="15.75" x14ac:dyDescent="0.25">
      <c r="A46" s="18" t="s">
        <v>42</v>
      </c>
      <c r="B46" s="50">
        <f>'Walmart Inc Financials'!D33+'Walmart Inc Financials'!D35+'Walmart Inc Financials'!D37</f>
        <v>175522</v>
      </c>
      <c r="C46" s="27"/>
      <c r="D46" s="27"/>
      <c r="E46" s="27"/>
    </row>
    <row r="47" spans="1:5" ht="15.75" x14ac:dyDescent="0.25">
      <c r="A47" s="43" t="s">
        <v>43</v>
      </c>
      <c r="B47" s="51">
        <f>B41-B42-B43-B44+B45+B46</f>
        <v>331869.67043322884</v>
      </c>
      <c r="C47" s="27"/>
      <c r="D47" s="9"/>
      <c r="E47" s="27"/>
    </row>
    <row r="48" spans="1:5" ht="15.75" x14ac:dyDescent="0.25">
      <c r="A48" s="44" t="s">
        <v>44</v>
      </c>
      <c r="B48" s="52">
        <f>3.2*'Walmart Inc Financials'!D69</f>
        <v>21472</v>
      </c>
      <c r="C48" s="27"/>
      <c r="D48" s="27"/>
      <c r="E48" s="27"/>
    </row>
    <row r="49" spans="1:8" ht="15.75" x14ac:dyDescent="0.25">
      <c r="A49" s="43" t="s">
        <v>50</v>
      </c>
      <c r="B49" s="51">
        <f>B47-B48</f>
        <v>310397.67043322884</v>
      </c>
      <c r="C49" s="27"/>
      <c r="D49" s="27"/>
      <c r="E49" s="27"/>
    </row>
    <row r="50" spans="1:8" ht="15.75" x14ac:dyDescent="0.25">
      <c r="A50" s="44" t="s">
        <v>45</v>
      </c>
      <c r="B50" s="53">
        <f>'Walmart Inc Financials'!D68</f>
        <v>8054</v>
      </c>
      <c r="C50" s="27"/>
      <c r="D50" s="27"/>
      <c r="E50" s="27"/>
    </row>
    <row r="51" spans="1:8" ht="15.75" x14ac:dyDescent="0.25">
      <c r="A51" s="43" t="s">
        <v>49</v>
      </c>
      <c r="B51" s="51">
        <f>B49/B50</f>
        <v>38.539566728734648</v>
      </c>
      <c r="C51" s="27"/>
      <c r="D51" s="27"/>
      <c r="E51" s="27"/>
    </row>
    <row r="52" spans="1:8" ht="15.75" x14ac:dyDescent="0.25">
      <c r="A52" s="44" t="s">
        <v>48</v>
      </c>
      <c r="B52" s="54">
        <v>54.55</v>
      </c>
      <c r="C52" s="27"/>
      <c r="D52" s="27"/>
      <c r="E52" s="27"/>
    </row>
    <row r="53" spans="1:8" ht="15.75" x14ac:dyDescent="0.25">
      <c r="A53" s="43" t="s">
        <v>46</v>
      </c>
      <c r="B53" s="55">
        <f>(B51-B52)/B51</f>
        <v>-0.41542847079617418</v>
      </c>
      <c r="C53" s="27"/>
      <c r="D53" s="27"/>
      <c r="E53" s="27"/>
    </row>
    <row r="54" spans="1:8" ht="15.75" x14ac:dyDescent="0.25">
      <c r="A54" s="45" t="s">
        <v>109</v>
      </c>
      <c r="B54" s="27"/>
      <c r="C54" s="27"/>
      <c r="D54" s="27"/>
      <c r="E54" s="27"/>
    </row>
    <row r="56" spans="1:8" x14ac:dyDescent="0.25">
      <c r="C56" s="73" t="s">
        <v>113</v>
      </c>
      <c r="D56" s="73"/>
      <c r="E56" s="73"/>
      <c r="F56" s="73"/>
      <c r="G56" s="73"/>
      <c r="H56" s="73"/>
    </row>
    <row r="57" spans="1:8" ht="15.75" x14ac:dyDescent="0.25">
      <c r="A57" s="1" t="s">
        <v>111</v>
      </c>
      <c r="B57" s="72" t="s">
        <v>112</v>
      </c>
      <c r="C57" s="68">
        <f>B51</f>
        <v>38.539566728734648</v>
      </c>
      <c r="D57" s="66">
        <v>0.01</v>
      </c>
      <c r="E57" s="66">
        <v>0.02</v>
      </c>
      <c r="F57" s="66">
        <v>0.03</v>
      </c>
      <c r="G57" s="66">
        <v>0.04</v>
      </c>
      <c r="H57" s="66">
        <v>0.05</v>
      </c>
    </row>
    <row r="58" spans="1:8" x14ac:dyDescent="0.25">
      <c r="B58" s="72"/>
      <c r="C58" s="67">
        <v>5.5E-2</v>
      </c>
      <c r="D58" s="65">
        <f t="dataTable" ref="D58:H62" dt2D="1" dtr="1" r1="E36" r2="B28"/>
        <v>40.375721976143723</v>
      </c>
      <c r="E58" s="65">
        <v>51.170859288390737</v>
      </c>
      <c r="F58" s="65">
        <v>70.602106450435372</v>
      </c>
      <c r="G58" s="65">
        <v>115.94168316187286</v>
      </c>
      <c r="H58" s="65">
        <v>342.63956671906044</v>
      </c>
    </row>
    <row r="59" spans="1:8" x14ac:dyDescent="0.25">
      <c r="B59" s="72"/>
      <c r="C59" s="67">
        <v>6.5000000000000002E-2</v>
      </c>
      <c r="D59" s="65">
        <v>32.884958652559227</v>
      </c>
      <c r="E59" s="65">
        <v>39.626189965790424</v>
      </c>
      <c r="F59" s="65">
        <v>50.219553458010864</v>
      </c>
      <c r="G59" s="65">
        <v>69.287607744007687</v>
      </c>
      <c r="H59" s="65">
        <v>113.77973441133356</v>
      </c>
    </row>
    <row r="60" spans="1:8" ht="15.75" x14ac:dyDescent="0.25">
      <c r="B60" s="72"/>
      <c r="C60" s="67">
        <v>7.4999999999999997E-2</v>
      </c>
      <c r="D60" s="65">
        <v>27.700352298676687</v>
      </c>
      <c r="E60" s="65">
        <v>32.280934419656631</v>
      </c>
      <c r="F60" s="69">
        <v>38.897330816627672</v>
      </c>
      <c r="G60" s="65">
        <v>49.294525154725015</v>
      </c>
      <c r="H60" s="65">
        <v>68.009474963300221</v>
      </c>
    </row>
    <row r="61" spans="1:8" x14ac:dyDescent="0.25">
      <c r="B61" s="72"/>
      <c r="C61" s="67">
        <v>8.5000000000000006E-2</v>
      </c>
      <c r="D61" s="65">
        <v>23.899394759538957</v>
      </c>
      <c r="E61" s="65">
        <v>27.196854879687724</v>
      </c>
      <c r="F61" s="65">
        <v>31.693391407163318</v>
      </c>
      <c r="G61" s="65">
        <v>38.188388613516942</v>
      </c>
      <c r="H61" s="65">
        <v>48.394812794929791</v>
      </c>
    </row>
    <row r="62" spans="1:8" x14ac:dyDescent="0.25">
      <c r="B62" s="72"/>
      <c r="C62" s="67">
        <v>9.5000000000000001E-2</v>
      </c>
      <c r="D62" s="65">
        <v>20.993701276003982</v>
      </c>
      <c r="E62" s="65">
        <v>23.469442343525639</v>
      </c>
      <c r="F62" s="65">
        <v>26.70694989336166</v>
      </c>
      <c r="G62" s="65">
        <v>31.121732915865319</v>
      </c>
      <c r="H62" s="65">
        <v>37.498641726148385</v>
      </c>
    </row>
  </sheetData>
  <mergeCells count="2">
    <mergeCell ref="B57:B62"/>
    <mergeCell ref="C56:H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 Equity Valuatin Of Walmart </vt:lpstr>
      <vt:lpstr>Introduction</vt:lpstr>
      <vt:lpstr>Walmart Inc Financials</vt:lpstr>
      <vt:lpstr>Walmart Inc Equity 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2024-10-31T09:34:45Z</dcterms:modified>
</cp:coreProperties>
</file>