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ojects Folder\"/>
    </mc:Choice>
  </mc:AlternateContent>
  <bookViews>
    <workbookView xWindow="0" yWindow="0" windowWidth="20490" windowHeight="7755" firstSheet="1" activeTab="1"/>
  </bookViews>
  <sheets>
    <sheet name="DCF Valuation" sheetId="10" r:id="rId1"/>
    <sheet name="Introduction" sheetId="11" r:id="rId2"/>
    <sheet name="P$L" sheetId="7" r:id="rId3"/>
    <sheet name="Balance Statement" sheetId="8" r:id="rId4"/>
    <sheet name="Cashflow" sheetId="9" r:id="rId5"/>
    <sheet name="Zenith bank Equity Valuati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 l="1"/>
  <c r="B49" i="6" l="1"/>
  <c r="B51" i="6"/>
  <c r="B47" i="6"/>
  <c r="B46" i="6"/>
  <c r="B45" i="6"/>
  <c r="B44" i="6"/>
  <c r="B43" i="6"/>
  <c r="E33" i="6"/>
  <c r="B17" i="6"/>
  <c r="E10" i="6"/>
  <c r="D10" i="6"/>
  <c r="C10" i="6"/>
  <c r="E7" i="6"/>
  <c r="D7" i="6"/>
  <c r="C7" i="6"/>
  <c r="E6" i="6"/>
  <c r="D6" i="6"/>
  <c r="C6" i="6"/>
  <c r="F35" i="8"/>
  <c r="G35" i="8"/>
  <c r="E35" i="8"/>
  <c r="G22" i="9"/>
  <c r="G20" i="9"/>
  <c r="F20" i="9"/>
  <c r="E20" i="9"/>
  <c r="D21" i="9"/>
  <c r="C21" i="9"/>
  <c r="B21" i="9"/>
  <c r="G18" i="9"/>
  <c r="F18" i="9"/>
  <c r="E18" i="9"/>
  <c r="D19" i="9"/>
  <c r="C19" i="9"/>
  <c r="B19" i="9"/>
  <c r="G16" i="9"/>
  <c r="F16" i="9"/>
  <c r="F22" i="9" s="1"/>
  <c r="E16" i="9"/>
  <c r="E22" i="9" s="1"/>
  <c r="D17" i="9"/>
  <c r="C17" i="9"/>
  <c r="B17" i="9"/>
  <c r="D14" i="9"/>
  <c r="E14" i="9" s="1"/>
  <c r="F14" i="9" s="1"/>
  <c r="C14" i="9"/>
  <c r="B14" i="9"/>
  <c r="G11" i="9"/>
  <c r="E16" i="6" s="1"/>
  <c r="F11" i="9"/>
  <c r="D16" i="6" s="1"/>
  <c r="E11" i="9"/>
  <c r="C16" i="6" s="1"/>
  <c r="D12" i="9"/>
  <c r="C12" i="9"/>
  <c r="B12" i="9"/>
  <c r="E4" i="8"/>
  <c r="F4" i="8" s="1"/>
  <c r="G4" i="8" s="1"/>
  <c r="E19" i="8"/>
  <c r="F19" i="8" s="1"/>
  <c r="G19" i="8" s="1"/>
  <c r="F16" i="8"/>
  <c r="G16" i="8" s="1"/>
  <c r="E16" i="8"/>
  <c r="E14" i="8"/>
  <c r="F14" i="8" s="1"/>
  <c r="G14" i="8" s="1"/>
  <c r="E12" i="8"/>
  <c r="F12" i="8" s="1"/>
  <c r="G12" i="8" s="1"/>
  <c r="E10" i="8"/>
  <c r="F10" i="8" s="1"/>
  <c r="G10" i="8" s="1"/>
  <c r="E8" i="8"/>
  <c r="F8" i="8" s="1"/>
  <c r="G8" i="8" s="1"/>
  <c r="E8" i="9"/>
  <c r="C17" i="6" s="1"/>
  <c r="D9" i="9"/>
  <c r="C9" i="9"/>
  <c r="B9" i="9"/>
  <c r="G6" i="9"/>
  <c r="F6" i="9"/>
  <c r="E6" i="9"/>
  <c r="D7" i="9"/>
  <c r="C7" i="9"/>
  <c r="B7" i="9"/>
  <c r="G3" i="9"/>
  <c r="E8" i="6" s="1"/>
  <c r="F3" i="9"/>
  <c r="E3" i="9"/>
  <c r="C8" i="6" s="1"/>
  <c r="D4" i="9"/>
  <c r="C4" i="9"/>
  <c r="B4" i="9"/>
  <c r="D23" i="9"/>
  <c r="C23" i="9"/>
  <c r="B23" i="9"/>
  <c r="D5" i="8"/>
  <c r="C5" i="8"/>
  <c r="E2" i="8"/>
  <c r="F8" i="9" l="1"/>
  <c r="D8" i="6"/>
  <c r="G14" i="9"/>
  <c r="G13" i="9" s="1"/>
  <c r="G15" i="9" s="1"/>
  <c r="F13" i="9"/>
  <c r="F15" i="9" s="1"/>
  <c r="E13" i="9"/>
  <c r="E15" i="9" s="1"/>
  <c r="E10" i="9"/>
  <c r="E23" i="9" s="1"/>
  <c r="E25" i="9" s="1"/>
  <c r="E6" i="8" s="1"/>
  <c r="D42" i="8"/>
  <c r="C42" i="8"/>
  <c r="B42" i="8"/>
  <c r="E20" i="8"/>
  <c r="D20" i="8"/>
  <c r="C20" i="8"/>
  <c r="G20" i="8"/>
  <c r="G8" i="9" l="1"/>
  <c r="D17" i="6"/>
  <c r="F10" i="9"/>
  <c r="F23" i="9" s="1"/>
  <c r="F25" i="9" s="1"/>
  <c r="F6" i="8" s="1"/>
  <c r="F20" i="8"/>
  <c r="D40" i="8"/>
  <c r="C40" i="8"/>
  <c r="B40" i="8"/>
  <c r="G37" i="8"/>
  <c r="F37" i="8"/>
  <c r="E37" i="8"/>
  <c r="D38" i="8"/>
  <c r="C38" i="8"/>
  <c r="B38" i="8"/>
  <c r="D36" i="8"/>
  <c r="C36" i="8"/>
  <c r="B36" i="8"/>
  <c r="B32" i="8"/>
  <c r="D31" i="8"/>
  <c r="D32" i="8" s="1"/>
  <c r="C31" i="8"/>
  <c r="C32" i="8" s="1"/>
  <c r="B31" i="8"/>
  <c r="D30" i="8"/>
  <c r="C30" i="8"/>
  <c r="G27" i="8"/>
  <c r="F27" i="8"/>
  <c r="E27" i="8"/>
  <c r="D28" i="8"/>
  <c r="C28" i="8"/>
  <c r="B28" i="8"/>
  <c r="G26" i="8"/>
  <c r="F26" i="8"/>
  <c r="E26" i="8"/>
  <c r="D26" i="8"/>
  <c r="C26" i="8"/>
  <c r="G23" i="8"/>
  <c r="F23" i="8"/>
  <c r="E23" i="8"/>
  <c r="D24" i="8"/>
  <c r="C24" i="8"/>
  <c r="B24" i="8"/>
  <c r="G21" i="8"/>
  <c r="F21" i="8"/>
  <c r="E21" i="8"/>
  <c r="D22" i="8"/>
  <c r="C22" i="8"/>
  <c r="B22" i="8"/>
  <c r="D7" i="8"/>
  <c r="C7" i="8"/>
  <c r="E17" i="8"/>
  <c r="D17" i="8"/>
  <c r="C17" i="8"/>
  <c r="E15" i="8"/>
  <c r="D15" i="8"/>
  <c r="C15" i="8"/>
  <c r="G13" i="8"/>
  <c r="D13" i="8"/>
  <c r="C13" i="8"/>
  <c r="D11" i="8"/>
  <c r="C11" i="8"/>
  <c r="D9" i="8"/>
  <c r="C9" i="8"/>
  <c r="D3" i="8"/>
  <c r="C3" i="8"/>
  <c r="G22" i="7"/>
  <c r="F22" i="7"/>
  <c r="E22" i="7"/>
  <c r="D22" i="7"/>
  <c r="C22" i="7"/>
  <c r="D18" i="7"/>
  <c r="E18" i="7" s="1"/>
  <c r="C18" i="7"/>
  <c r="B18" i="7"/>
  <c r="D16" i="7"/>
  <c r="C16" i="7"/>
  <c r="E11" i="7"/>
  <c r="F11" i="7" s="1"/>
  <c r="D12" i="7"/>
  <c r="C12" i="7"/>
  <c r="D9" i="7"/>
  <c r="E9" i="7" s="1"/>
  <c r="F9" i="7" s="1"/>
  <c r="G9" i="7" s="1"/>
  <c r="C9" i="7"/>
  <c r="B9" i="7"/>
  <c r="D6" i="7"/>
  <c r="E6" i="7" s="1"/>
  <c r="F6" i="7" s="1"/>
  <c r="G6" i="7" s="1"/>
  <c r="C6" i="7"/>
  <c r="B6" i="7"/>
  <c r="E3" i="7"/>
  <c r="F3" i="7" s="1"/>
  <c r="D4" i="7"/>
  <c r="C4" i="7"/>
  <c r="D20" i="7"/>
  <c r="C20" i="7"/>
  <c r="B20" i="7"/>
  <c r="D13" i="7"/>
  <c r="D14" i="7" s="1"/>
  <c r="E14" i="7" s="1"/>
  <c r="C13" i="7"/>
  <c r="C14" i="7" s="1"/>
  <c r="B13" i="7"/>
  <c r="B14" i="7" s="1"/>
  <c r="B7" i="7"/>
  <c r="E17" i="6" l="1"/>
  <c r="E18" i="6" s="1"/>
  <c r="G10" i="9"/>
  <c r="G23" i="9" s="1"/>
  <c r="G25" i="9" s="1"/>
  <c r="G6" i="8" s="1"/>
  <c r="G17" i="8"/>
  <c r="F17" i="8"/>
  <c r="E18" i="8"/>
  <c r="E36" i="8" s="1"/>
  <c r="G15" i="8"/>
  <c r="E13" i="8"/>
  <c r="F13" i="8"/>
  <c r="E12" i="7"/>
  <c r="G3" i="7"/>
  <c r="G4" i="7" s="1"/>
  <c r="F4" i="7"/>
  <c r="F14" i="7"/>
  <c r="E13" i="7"/>
  <c r="G11" i="7"/>
  <c r="G12" i="7" s="1"/>
  <c r="F12" i="7"/>
  <c r="F18" i="7"/>
  <c r="G18" i="7" s="1"/>
  <c r="E8" i="7"/>
  <c r="E4" i="7"/>
  <c r="E5" i="7"/>
  <c r="E7" i="7" s="1"/>
  <c r="F5" i="7"/>
  <c r="F7" i="7" s="1"/>
  <c r="F8" i="7"/>
  <c r="E12" i="6"/>
  <c r="D12" i="6"/>
  <c r="C12" i="6"/>
  <c r="E39" i="8" l="1"/>
  <c r="E29" i="8"/>
  <c r="F15" i="8"/>
  <c r="E25" i="8"/>
  <c r="G5" i="7"/>
  <c r="G7" i="7" s="1"/>
  <c r="E10" i="7"/>
  <c r="E15" i="7" s="1"/>
  <c r="F10" i="7"/>
  <c r="E16" i="7"/>
  <c r="G14" i="7"/>
  <c r="G13" i="7" s="1"/>
  <c r="F13" i="7"/>
  <c r="E17" i="7"/>
  <c r="E19" i="7" s="1"/>
  <c r="E21" i="7" s="1"/>
  <c r="G8" i="7"/>
  <c r="G10" i="7" s="1"/>
  <c r="E41" i="8" l="1"/>
  <c r="E42" i="8" s="1"/>
  <c r="E31" i="8"/>
  <c r="G15" i="7"/>
  <c r="G17" i="7"/>
  <c r="G19" i="7" s="1"/>
  <c r="G21" i="7" s="1"/>
  <c r="F15" i="7"/>
  <c r="G16" i="7" s="1"/>
  <c r="B29" i="6"/>
  <c r="E32" i="8" l="1"/>
  <c r="E43" i="8"/>
  <c r="F16" i="7"/>
  <c r="F17" i="7"/>
  <c r="F19" i="7" s="1"/>
  <c r="F21" i="7" s="1"/>
  <c r="C33" i="6"/>
  <c r="D33" i="6"/>
  <c r="C18" i="6" l="1"/>
  <c r="C19" i="6" s="1"/>
  <c r="D18" i="6" l="1"/>
  <c r="D19" i="6" l="1"/>
  <c r="C9" i="6"/>
  <c r="C11" i="6" s="1"/>
  <c r="D9" i="6"/>
  <c r="C13" i="6" l="1"/>
  <c r="C22" i="6" s="1"/>
  <c r="C34" i="6" s="1"/>
  <c r="D11" i="6"/>
  <c r="D13" i="6" l="1"/>
  <c r="D22" i="6" s="1"/>
  <c r="D34" i="6" s="1"/>
  <c r="E19" i="6" l="1"/>
  <c r="E9" i="6"/>
  <c r="E11" i="6" s="1"/>
  <c r="E13" i="6" s="1"/>
  <c r="E22" i="6" l="1"/>
  <c r="E34" i="6" s="1"/>
  <c r="E38" i="6" l="1"/>
  <c r="E39" i="6" s="1"/>
  <c r="B42" i="6" s="1"/>
  <c r="B48" i="6" l="1"/>
  <c r="B50" i="6" s="1"/>
  <c r="B52" i="6" s="1"/>
  <c r="B54" i="6" s="1"/>
  <c r="B30" i="8"/>
  <c r="F2" i="8"/>
  <c r="G2" i="8" s="1"/>
  <c r="G18" i="8" s="1"/>
  <c r="G36" i="8" s="1"/>
  <c r="G39" i="8" l="1"/>
  <c r="G25" i="8"/>
  <c r="G29" i="8"/>
  <c r="F18" i="8"/>
  <c r="F36" i="8" s="1"/>
  <c r="G41" i="8" l="1"/>
  <c r="G42" i="8" s="1"/>
  <c r="G31" i="8"/>
  <c r="F29" i="8"/>
  <c r="F25" i="8"/>
  <c r="F39" i="8"/>
  <c r="F31" i="8" l="1"/>
  <c r="F32" i="8" s="1"/>
  <c r="F41" i="8"/>
  <c r="F42" i="8" s="1"/>
  <c r="G32" i="8"/>
  <c r="G43" i="8"/>
  <c r="F43" i="8" l="1"/>
</calcChain>
</file>

<file path=xl/sharedStrings.xml><?xml version="1.0" encoding="utf-8"?>
<sst xmlns="http://schemas.openxmlformats.org/spreadsheetml/2006/main" count="174" uniqueCount="161">
  <si>
    <t>Interest Income, Bank</t>
  </si>
  <si>
    <t>Total Interest Expense</t>
  </si>
  <si>
    <t>Net Interest Income</t>
  </si>
  <si>
    <t>Loan Loss Provision</t>
  </si>
  <si>
    <t>Net Interest Inc. After Loan Loss Prov.</t>
  </si>
  <si>
    <t>Non-Interest Income, Bank</t>
  </si>
  <si>
    <t>Net Income Before Taxes</t>
  </si>
  <si>
    <t>Provision for Income Taxes</t>
  </si>
  <si>
    <t>Net Income After Taxes</t>
  </si>
  <si>
    <t>Net Income</t>
  </si>
  <si>
    <t>Minority Interest</t>
  </si>
  <si>
    <t>Other Assets, Total</t>
  </si>
  <si>
    <t>Accumulated Depreciation, Total</t>
  </si>
  <si>
    <t>Cash &amp; Due from Banks</t>
  </si>
  <si>
    <t>Other Earning Assets, Total</t>
  </si>
  <si>
    <t>Net Loans</t>
  </si>
  <si>
    <t>Property/Plant/Equipment, Total - Net</t>
  </si>
  <si>
    <t>Intangibles, Net</t>
  </si>
  <si>
    <t>Other Long Term Assets, Total</t>
  </si>
  <si>
    <t>Total Assets</t>
  </si>
  <si>
    <t>Total Deposits</t>
  </si>
  <si>
    <t>Other Current liabilities, Total</t>
  </si>
  <si>
    <t>Capital Lease Obligations</t>
  </si>
  <si>
    <t>Total Debt</t>
  </si>
  <si>
    <t>Deferred Income Tax</t>
  </si>
  <si>
    <t>Other Liabilities, Total</t>
  </si>
  <si>
    <t>Total Liabilities</t>
  </si>
  <si>
    <t>Common Stock, Total</t>
  </si>
  <si>
    <t>Additional Paid-In Capital</t>
  </si>
  <si>
    <t>Retained Earnings (Accumulated Deficit)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</si>
  <si>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</si>
  <si>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</si>
  <si>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</si>
  <si>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</si>
  <si>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</si>
  <si>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Net Income/Starting Line</t>
  </si>
  <si>
    <t>Depreciation/Depletion</t>
  </si>
  <si>
    <t>Amortization</t>
  </si>
  <si>
    <t>Non-Cash Items</t>
  </si>
  <si>
    <t>Changes in Working Capital</t>
  </si>
  <si>
    <t>Cash from Operating Activities</t>
  </si>
  <si>
    <t>Capital Expenditures</t>
  </si>
  <si>
    <t>Other Investing Cash Flow Items, Total</t>
  </si>
  <si>
    <t>Cash from Investing Activities</t>
  </si>
  <si>
    <t>Financing Cash Flow Items</t>
  </si>
  <si>
    <t>Total Cash Dividends Paid</t>
  </si>
  <si>
    <t>Issuance (Retirement) of Debt, Net</t>
  </si>
  <si>
    <t>Cash from Financing Activities</t>
  </si>
  <si>
    <t>Foreign Exchange Effects</t>
  </si>
  <si>
    <t>Net Change in Cash</t>
  </si>
  <si>
    <t>Operating expenses and other expenses</t>
  </si>
  <si>
    <t>Others</t>
  </si>
  <si>
    <t>Net Cashflow</t>
  </si>
  <si>
    <t>DISCOUNTED CASH FLOW TECHNIQUE OF VALUATION</t>
  </si>
  <si>
    <t>Operating cash profit calculation</t>
  </si>
  <si>
    <t>Jan. 31, 2024</t>
  </si>
  <si>
    <t>Jan. 31, 2025</t>
  </si>
  <si>
    <t>Jan. 31, 2026</t>
  </si>
  <si>
    <t>Revenues</t>
  </si>
  <si>
    <t>Less: Depreciation</t>
  </si>
  <si>
    <t>Earnings before interest and tax (EBIT)</t>
  </si>
  <si>
    <t>Less: Operating taxes</t>
  </si>
  <si>
    <t>Post tax operating profit (NOPLAT)</t>
  </si>
  <si>
    <t>Add: Depreciation</t>
  </si>
  <si>
    <t>Post tax operating cash profit</t>
  </si>
  <si>
    <t>Operating cash investments</t>
  </si>
  <si>
    <t>Capital expenditures investments</t>
  </si>
  <si>
    <t>Working Capital</t>
  </si>
  <si>
    <t>Increase in working capital</t>
  </si>
  <si>
    <t>Free cash flow to firm</t>
  </si>
  <si>
    <t>FCFF</t>
  </si>
  <si>
    <t>Cost of Capital calculation</t>
  </si>
  <si>
    <t>Percent</t>
  </si>
  <si>
    <t>Tax rate</t>
  </si>
  <si>
    <t xml:space="preserve">Cost of debt </t>
  </si>
  <si>
    <t>Bloomberg</t>
  </si>
  <si>
    <t>Cost of equity</t>
  </si>
  <si>
    <t>Target capital structure (debt to capital)</t>
  </si>
  <si>
    <t>WACC (Weighted average cost of capital)</t>
  </si>
  <si>
    <t>WACC=% of debt in total capital*post tax cost of debt+% of equity*cost of equity</t>
  </si>
  <si>
    <t>Present value of future cash flows</t>
  </si>
  <si>
    <t>Years from current</t>
  </si>
  <si>
    <t>Discount factor</t>
  </si>
  <si>
    <t>Present value of FCFF</t>
  </si>
  <si>
    <t>Terminal value calculation</t>
  </si>
  <si>
    <t>Terminal growth</t>
  </si>
  <si>
    <t>Terminal value</t>
  </si>
  <si>
    <t>Present value of terminal value</t>
  </si>
  <si>
    <t>Share price calculation</t>
  </si>
  <si>
    <t>Less: Short term debt</t>
  </si>
  <si>
    <t>Less: Long term debt</t>
  </si>
  <si>
    <t>Less: Other long term liabilities</t>
  </si>
  <si>
    <t>Add: Cash and cash equivalents</t>
  </si>
  <si>
    <t>Add: Other long term assets</t>
  </si>
  <si>
    <t>Consolidated equity value</t>
  </si>
  <si>
    <t>Less: Market Value of minority interest</t>
  </si>
  <si>
    <t>Zenith Bank PLC (ZENITHBA:NL) </t>
  </si>
  <si>
    <t>Enterprise value (EV) for Zenith Bank PLC</t>
  </si>
  <si>
    <t>Zenith Bank PLC equity value</t>
  </si>
  <si>
    <t>Zenith Bank PLC equity value per share</t>
  </si>
  <si>
    <t>2023 Share price</t>
  </si>
  <si>
    <t>Margin of safety</t>
  </si>
  <si>
    <t>From 2023 income.</t>
  </si>
  <si>
    <t>h</t>
  </si>
  <si>
    <t>Zenith bank shares is Undervalued</t>
  </si>
  <si>
    <t>total Interest Expense/Interest Income in %</t>
  </si>
  <si>
    <t>loan Loss Provision/Interest Income in %</t>
  </si>
  <si>
    <t>Growth rate of Interest Income in %</t>
  </si>
  <si>
    <t>Growth rate of Non -Interest Income in %</t>
  </si>
  <si>
    <t>OPerating expenses and other expenses/ Non-Interest Income</t>
  </si>
  <si>
    <t>Growth rate Net Income Before Taxes</t>
  </si>
  <si>
    <t>provision for Income Taxes/Net Income Before Taxes</t>
  </si>
  <si>
    <t>Growth rate of Net Income</t>
  </si>
  <si>
    <t>Growth rate of Cash and Due from Banks (%)</t>
  </si>
  <si>
    <t>Growth rate of Accumulated Depreciation (%)</t>
  </si>
  <si>
    <t>Growth rate of Other Assets, Total (%)</t>
  </si>
  <si>
    <t>Growth rate of Other Earning Assets (%)</t>
  </si>
  <si>
    <t>Growth rate of Net Loans (%)</t>
  </si>
  <si>
    <t>Growth rate of Property/Plant/Equipment (%)</t>
  </si>
  <si>
    <t>Growth rate of Intangibes,Net (%)</t>
  </si>
  <si>
    <t>Growth rate of Ither Long Term Assets, Total (%)</t>
  </si>
  <si>
    <t>As % of Interest and Non Interest Income</t>
  </si>
  <si>
    <t>As % of Net Income</t>
  </si>
  <si>
    <t>As % of Total Assets</t>
  </si>
  <si>
    <t>Total Liabilities/Total Assets in %</t>
  </si>
  <si>
    <t>Growth rate o Total Deposits (%)</t>
  </si>
  <si>
    <t>AS % of Total Assets.</t>
  </si>
  <si>
    <t>As %  Total Assets</t>
  </si>
  <si>
    <t>As % of Total Assets.</t>
  </si>
  <si>
    <t>Total Equity/Total Assets in %</t>
  </si>
  <si>
    <t>As % Interest and Non-Interest Income</t>
  </si>
  <si>
    <t>V</t>
  </si>
  <si>
    <t xml:space="preserve">Zenith Bank PLC (ZENITHBA:NL)  Balance Sheet  Statement </t>
  </si>
  <si>
    <t>Zenith Bank PLC (ZENITHBA:NL)  Cashflow Statement</t>
  </si>
  <si>
    <t>Zenith Bank PLC (ZENITHBA:NL)  Income Statement</t>
  </si>
  <si>
    <t>BY</t>
  </si>
  <si>
    <t>EZEJI EMMANUEL IFEANYI</t>
  </si>
  <si>
    <t>DCF VALUATION OF ZENITH BANK PLC</t>
  </si>
  <si>
    <t>Company</t>
  </si>
  <si>
    <t>Year</t>
  </si>
  <si>
    <t>First forecast year</t>
  </si>
  <si>
    <t>Currency</t>
  </si>
  <si>
    <t>Naira</t>
  </si>
  <si>
    <t>Reporting units</t>
  </si>
  <si>
    <t>Domestic country</t>
  </si>
  <si>
    <t>Nigeria</t>
  </si>
  <si>
    <t>Historical Financial data Years</t>
  </si>
  <si>
    <t>2021-2023</t>
  </si>
  <si>
    <t>Forcasted Years</t>
  </si>
  <si>
    <t>Method of Forcast</t>
  </si>
  <si>
    <t>Linear Equation models</t>
  </si>
  <si>
    <t>Result of Valuation</t>
  </si>
  <si>
    <t>2024-2026</t>
  </si>
  <si>
    <t>Zenith Bank PLC</t>
  </si>
  <si>
    <t>Zenith Bank PLC share price</t>
  </si>
  <si>
    <t>Common Shares outstanding</t>
  </si>
  <si>
    <t>Zenth Bank Share price is highly Undervalued</t>
  </si>
  <si>
    <t xml:space="preserve">Free cash flow to firm calculation (FCFF) </t>
  </si>
  <si>
    <t>000000s</t>
  </si>
  <si>
    <t>TV=FCFF (2026)*(1+g)/(WACC-g)</t>
  </si>
  <si>
    <t>Less: Interest , Non interest Expenses and Loan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</si>
</sst>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#,##0.0"/>
    <numFmt numFmtId="168" formatCode="#,##0;\(#,##0\);\-"/>
    <numFmt numFmtId="169" formatCode="#,##0.0;\(#,##0.0\);\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0404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2"/>
      <color rgb="FF40404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i/>
      <sz val="12"/>
      <color theme="2" tint="-0.89999084444715716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4" tint="-0.499984740745262"/>
      <name val="Calibri"/>
      <family val="2"/>
      <scheme val="minor"/>
    </font>
    <font>
      <sz val="9"/>
      <color rgb="FF0000FF"/>
      <name val="Arial"/>
      <family val="2"/>
    </font>
    <font>
      <b/>
      <sz val="13"/>
      <color theme="4" tint="-0.499984740745262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4" fillId="4" borderId="0"/>
    <xf numFmtId="9" fontId="24" fillId="4" borderId="0"/>
  </cellStyleXfs>
  <cellXfs count="95">
    <xf numFmtId="0" fontId="0" fillId="0" borderId="0" xfId="0"/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vertical="center" wrapText="1"/>
    </xf>
    <xf numFmtId="164" fontId="6" fillId="0" borderId="0" xfId="1" applyNumberFormat="1" applyFont="1" applyAlignment="1">
      <alignment horizontal="left" vertical="center" wrapText="1" indent="1"/>
    </xf>
    <xf numFmtId="9" fontId="6" fillId="0" borderId="0" xfId="2" applyFont="1" applyAlignment="1">
      <alignment horizontal="right" vertical="center" wrapText="1" indent="1"/>
    </xf>
    <xf numFmtId="0" fontId="7" fillId="0" borderId="0" xfId="0" applyFont="1"/>
    <xf numFmtId="9" fontId="7" fillId="0" borderId="0" xfId="2" applyFont="1" applyAlignment="1">
      <alignment horizontal="right"/>
    </xf>
    <xf numFmtId="9" fontId="7" fillId="0" borderId="0" xfId="2" applyFont="1"/>
    <xf numFmtId="0" fontId="4" fillId="3" borderId="0" xfId="0" applyFont="1" applyFill="1"/>
    <xf numFmtId="15" fontId="4" fillId="3" borderId="0" xfId="0" applyNumberFormat="1" applyFont="1" applyFill="1" applyAlignment="1">
      <alignment horizontal="left" vertical="center"/>
    </xf>
    <xf numFmtId="0" fontId="5" fillId="3" borderId="0" xfId="0" applyFont="1" applyFill="1"/>
    <xf numFmtId="9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vertical="center" wrapText="1"/>
    </xf>
    <xf numFmtId="164" fontId="11" fillId="0" borderId="0" xfId="1" applyNumberFormat="1" applyFont="1" applyAlignment="1">
      <alignment horizontal="left" vertical="center" wrapText="1" indent="1"/>
    </xf>
    <xf numFmtId="164" fontId="10" fillId="0" borderId="0" xfId="1" applyNumberFormat="1" applyFont="1"/>
    <xf numFmtId="0" fontId="12" fillId="0" borderId="0" xfId="0" applyFont="1" applyAlignment="1">
      <alignment vertical="center" wrapText="1"/>
    </xf>
    <xf numFmtId="164" fontId="12" fillId="0" borderId="0" xfId="1" applyNumberFormat="1" applyFont="1" applyAlignment="1">
      <alignment horizontal="left" vertical="center" wrapText="1" indent="1"/>
    </xf>
    <xf numFmtId="164" fontId="13" fillId="0" borderId="0" xfId="0" applyNumberFormat="1" applyFont="1"/>
    <xf numFmtId="164" fontId="10" fillId="0" borderId="0" xfId="0" applyNumberFormat="1" applyFont="1"/>
    <xf numFmtId="0" fontId="10" fillId="0" borderId="0" xfId="0" applyFont="1"/>
    <xf numFmtId="0" fontId="14" fillId="0" borderId="0" xfId="0" applyFont="1"/>
    <xf numFmtId="164" fontId="6" fillId="0" borderId="0" xfId="1" applyNumberFormat="1" applyFont="1" applyAlignment="1">
      <alignment horizontal="right" vertical="center" wrapText="1" indent="1"/>
    </xf>
    <xf numFmtId="0" fontId="7" fillId="0" borderId="0" xfId="0" applyFont="1" applyAlignment="1">
      <alignment horizontal="right"/>
    </xf>
    <xf numFmtId="0" fontId="15" fillId="0" borderId="0" xfId="0" applyFont="1" applyAlignment="1">
      <alignment vertical="center" wrapText="1"/>
    </xf>
    <xf numFmtId="167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 indent="1"/>
    </xf>
    <xf numFmtId="0" fontId="16" fillId="0" borderId="0" xfId="0" applyFo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8" fillId="0" borderId="1" xfId="0" applyFont="1" applyBorder="1"/>
    <xf numFmtId="164" fontId="18" fillId="0" borderId="0" xfId="1" applyNumberFormat="1" applyFont="1" applyAlignment="1">
      <alignment horizontal="left" vertical="center" wrapText="1" indent="1"/>
    </xf>
    <xf numFmtId="0" fontId="18" fillId="0" borderId="0" xfId="0" applyFont="1"/>
    <xf numFmtId="1" fontId="18" fillId="0" borderId="0" xfId="0" applyNumberFormat="1" applyFont="1" applyFill="1" applyAlignment="1">
      <alignment horizontal="center"/>
    </xf>
    <xf numFmtId="164" fontId="18" fillId="2" borderId="0" xfId="1" applyNumberFormat="1" applyFont="1" applyFill="1" applyAlignment="1">
      <alignment horizontal="center"/>
    </xf>
    <xf numFmtId="0" fontId="18" fillId="0" borderId="2" xfId="0" applyFont="1" applyBorder="1"/>
    <xf numFmtId="1" fontId="18" fillId="0" borderId="3" xfId="0" applyNumberFormat="1" applyFont="1" applyFill="1" applyBorder="1" applyAlignment="1">
      <alignment horizontal="center"/>
    </xf>
    <xf numFmtId="164" fontId="18" fillId="2" borderId="3" xfId="1" applyNumberFormat="1" applyFont="1" applyFill="1" applyBorder="1" applyAlignment="1">
      <alignment horizontal="center"/>
    </xf>
    <xf numFmtId="0" fontId="16" fillId="0" borderId="1" xfId="0" applyFont="1" applyBorder="1"/>
    <xf numFmtId="1" fontId="16" fillId="0" borderId="0" xfId="0" applyNumberFormat="1" applyFont="1" applyFill="1" applyAlignment="1">
      <alignment horizontal="center"/>
    </xf>
    <xf numFmtId="164" fontId="16" fillId="2" borderId="0" xfId="1" applyNumberFormat="1" applyFont="1" applyFill="1" applyAlignment="1">
      <alignment horizontal="center"/>
    </xf>
    <xf numFmtId="0" fontId="16" fillId="0" borderId="4" xfId="0" applyFont="1" applyBorder="1"/>
    <xf numFmtId="1" fontId="16" fillId="0" borderId="5" xfId="0" applyNumberFormat="1" applyFont="1" applyFill="1" applyBorder="1" applyAlignment="1">
      <alignment horizontal="center"/>
    </xf>
    <xf numFmtId="164" fontId="16" fillId="2" borderId="5" xfId="1" applyNumberFormat="1" applyFont="1" applyFill="1" applyBorder="1" applyAlignment="1">
      <alignment horizontal="center"/>
    </xf>
    <xf numFmtId="164" fontId="18" fillId="0" borderId="0" xfId="1" applyNumberFormat="1" applyFont="1"/>
    <xf numFmtId="0" fontId="18" fillId="0" borderId="1" xfId="0" quotePrefix="1" applyFont="1" applyFill="1" applyBorder="1"/>
    <xf numFmtId="164" fontId="18" fillId="0" borderId="3" xfId="1" applyNumberFormat="1" applyFont="1" applyFill="1" applyBorder="1"/>
    <xf numFmtId="0" fontId="19" fillId="0" borderId="5" xfId="0" applyFont="1" applyFill="1" applyBorder="1"/>
    <xf numFmtId="0" fontId="16" fillId="0" borderId="5" xfId="0" applyFont="1" applyFill="1" applyBorder="1"/>
    <xf numFmtId="9" fontId="18" fillId="0" borderId="0" xfId="0" applyNumberFormat="1" applyFont="1" applyFill="1" applyAlignment="1">
      <alignment horizontal="center"/>
    </xf>
    <xf numFmtId="165" fontId="16" fillId="2" borderId="5" xfId="0" applyNumberFormat="1" applyFont="1" applyFill="1" applyBorder="1" applyAlignment="1">
      <alignment horizontal="center"/>
    </xf>
    <xf numFmtId="0" fontId="18" fillId="0" borderId="0" xfId="0" applyFont="1" applyFill="1"/>
    <xf numFmtId="0" fontId="18" fillId="0" borderId="3" xfId="0" applyFont="1" applyFill="1" applyBorder="1"/>
    <xf numFmtId="0" fontId="18" fillId="0" borderId="5" xfId="0" applyFont="1" applyFill="1" applyBorder="1"/>
    <xf numFmtId="164" fontId="18" fillId="2" borderId="0" xfId="1" applyNumberFormat="1" applyFont="1" applyFill="1" applyAlignment="1">
      <alignment horizontal="right"/>
    </xf>
    <xf numFmtId="164" fontId="16" fillId="2" borderId="0" xfId="1" applyNumberFormat="1" applyFont="1" applyFill="1" applyAlignment="1">
      <alignment horizontal="right"/>
    </xf>
    <xf numFmtId="1" fontId="18" fillId="2" borderId="0" xfId="0" applyNumberFormat="1" applyFont="1" applyFill="1" applyAlignment="1"/>
    <xf numFmtId="2" fontId="18" fillId="2" borderId="3" xfId="0" applyNumberFormat="1" applyFont="1" applyFill="1" applyBorder="1" applyAlignment="1"/>
    <xf numFmtId="164" fontId="16" fillId="2" borderId="5" xfId="1" applyNumberFormat="1" applyFont="1" applyFill="1" applyBorder="1" applyAlignment="1"/>
    <xf numFmtId="9" fontId="18" fillId="2" borderId="0" xfId="0" applyNumberFormat="1" applyFont="1" applyFill="1" applyAlignment="1">
      <alignment horizontal="right"/>
    </xf>
    <xf numFmtId="0" fontId="16" fillId="0" borderId="0" xfId="0" applyFont="1" applyAlignment="1">
      <alignment vertical="center" wrapText="1"/>
    </xf>
    <xf numFmtId="164" fontId="16" fillId="0" borderId="0" xfId="1" applyNumberFormat="1" applyFont="1" applyAlignment="1">
      <alignment horizontal="left" vertical="center" wrapText="1" indent="1"/>
    </xf>
    <xf numFmtId="164" fontId="17" fillId="0" borderId="0" xfId="0" applyNumberFormat="1" applyFont="1"/>
    <xf numFmtId="0" fontId="18" fillId="0" borderId="0" xfId="0" applyFont="1" applyAlignment="1">
      <alignment vertical="center" wrapText="1"/>
    </xf>
    <xf numFmtId="164" fontId="14" fillId="0" borderId="0" xfId="0" applyNumberFormat="1" applyFont="1"/>
    <xf numFmtId="15" fontId="4" fillId="3" borderId="0" xfId="0" applyNumberFormat="1" applyFont="1" applyFill="1" applyAlignment="1">
      <alignment horizontal="center" vertical="center"/>
    </xf>
    <xf numFmtId="0" fontId="16" fillId="0" borderId="0" xfId="0" applyFont="1" applyBorder="1"/>
    <xf numFmtId="0" fontId="18" fillId="0" borderId="0" xfId="0" applyFont="1" applyBorder="1"/>
    <xf numFmtId="0" fontId="18" fillId="0" borderId="3" xfId="0" applyFont="1" applyBorder="1"/>
    <xf numFmtId="0" fontId="16" fillId="0" borderId="0" xfId="0" applyFont="1" applyFill="1" applyBorder="1"/>
    <xf numFmtId="164" fontId="18" fillId="2" borderId="0" xfId="1" applyNumberFormat="1" applyFont="1" applyFill="1" applyBorder="1" applyAlignment="1">
      <alignment horizontal="right"/>
    </xf>
    <xf numFmtId="164" fontId="16" fillId="2" borderId="0" xfId="1" applyNumberFormat="1" applyFont="1" applyFill="1" applyBorder="1" applyAlignment="1">
      <alignment horizontal="right"/>
    </xf>
    <xf numFmtId="164" fontId="18" fillId="2" borderId="0" xfId="0" applyNumberFormat="1" applyFont="1" applyFill="1" applyBorder="1" applyAlignment="1">
      <alignment horizontal="right"/>
    </xf>
    <xf numFmtId="166" fontId="16" fillId="2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right"/>
    </xf>
    <xf numFmtId="10" fontId="16" fillId="2" borderId="0" xfId="1" applyNumberFormat="1" applyFont="1" applyFill="1" applyBorder="1" applyAlignment="1">
      <alignment horizontal="right"/>
    </xf>
    <xf numFmtId="0" fontId="6" fillId="0" borderId="0" xfId="0" applyFont="1" applyAlignment="1">
      <alignment horizontal="left" vertical="center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164" fontId="23" fillId="4" borderId="0" xfId="1" applyNumberFormat="1" applyFont="1" applyFill="1" applyAlignment="1">
      <alignment horizontal="right"/>
    </xf>
    <xf numFmtId="169" fontId="23" fillId="4" borderId="0" xfId="3" applyNumberFormat="1" applyFont="1" applyAlignment="1">
      <alignment horizontal="right"/>
    </xf>
    <xf numFmtId="168" fontId="23" fillId="4" borderId="0" xfId="3" applyFont="1" applyAlignment="1">
      <alignment horizontal="right"/>
    </xf>
    <xf numFmtId="0" fontId="23" fillId="4" borderId="0" xfId="0" applyFont="1" applyFill="1" applyAlignment="1">
      <alignment horizontal="right"/>
    </xf>
    <xf numFmtId="9" fontId="23" fillId="4" borderId="0" xfId="4" applyFont="1" applyAlignment="1">
      <alignment horizontal="right"/>
    </xf>
    <xf numFmtId="0" fontId="25" fillId="0" borderId="0" xfId="0" applyFont="1" applyBorder="1"/>
    <xf numFmtId="0" fontId="25" fillId="0" borderId="0" xfId="0" applyFont="1" applyBorder="1" applyAlignment="1">
      <alignment horizontal="right"/>
    </xf>
    <xf numFmtId="0" fontId="26" fillId="3" borderId="0" xfId="0" applyFont="1" applyFill="1"/>
    <xf numFmtId="168" fontId="27" fillId="3" borderId="0" xfId="3" applyFont="1" applyFill="1" applyAlignment="1">
      <alignment horizontal="right"/>
    </xf>
    <xf numFmtId="15" fontId="28" fillId="3" borderId="0" xfId="0" applyNumberFormat="1" applyFont="1" applyFill="1" applyAlignment="1">
      <alignment horizontal="left" vertical="center"/>
    </xf>
    <xf numFmtId="15" fontId="28" fillId="3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right"/>
    </xf>
  </cellXfs>
  <cellStyles count="5">
    <cellStyle name="Comma" xfId="1" builtinId="3"/>
    <cellStyle name="Hard input" xfId="3"/>
    <cellStyle name="Hard input %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13"/>
  <sheetViews>
    <sheetView showGridLines="0" workbookViewId="0">
      <selection activeCell="C16" sqref="C16"/>
    </sheetView>
  </sheetViews>
  <sheetFormatPr defaultRowHeight="15" x14ac:dyDescent="0.25"/>
  <sheetData>
    <row r="11" spans="1:9" ht="33.75" x14ac:dyDescent="0.5">
      <c r="A11" s="79" t="s">
        <v>137</v>
      </c>
      <c r="B11" s="79"/>
      <c r="C11" s="79"/>
      <c r="D11" s="79"/>
      <c r="F11" s="79"/>
      <c r="G11" s="79"/>
      <c r="H11" s="79"/>
      <c r="I11" s="14"/>
    </row>
    <row r="12" spans="1:9" ht="18.75" x14ac:dyDescent="0.3">
      <c r="A12" s="80" t="s">
        <v>135</v>
      </c>
      <c r="B12" s="14"/>
      <c r="C12" s="14"/>
      <c r="D12" s="14"/>
      <c r="E12" s="14"/>
      <c r="F12" s="14"/>
      <c r="G12" s="14"/>
      <c r="H12" s="14"/>
      <c r="I12" s="14"/>
    </row>
    <row r="13" spans="1:9" ht="33.75" x14ac:dyDescent="0.5">
      <c r="A13" s="79" t="s">
        <v>136</v>
      </c>
      <c r="B13" s="79"/>
      <c r="C13" s="79"/>
      <c r="D13" s="81"/>
      <c r="E13" s="81"/>
      <c r="F13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showGridLines="0" tabSelected="1" workbookViewId="0">
      <selection activeCell="C10" sqref="C10"/>
    </sheetView>
  </sheetViews>
  <sheetFormatPr defaultRowHeight="15" x14ac:dyDescent="0.25"/>
  <cols>
    <col min="2" max="2" width="31.5703125" bestFit="1" customWidth="1"/>
    <col min="3" max="3" width="67.140625" customWidth="1"/>
  </cols>
  <sheetData>
    <row r="1" spans="2:3" s="11" customFormat="1" ht="20.25" customHeight="1" x14ac:dyDescent="0.3">
      <c r="B1" s="90" t="s">
        <v>138</v>
      </c>
      <c r="C1" s="91" t="s">
        <v>153</v>
      </c>
    </row>
    <row r="2" spans="2:3" ht="17.25" x14ac:dyDescent="0.3">
      <c r="B2" s="82" t="s">
        <v>139</v>
      </c>
      <c r="C2" s="83">
        <v>2023</v>
      </c>
    </row>
    <row r="3" spans="2:3" ht="17.25" x14ac:dyDescent="0.3">
      <c r="B3" s="82" t="s">
        <v>154</v>
      </c>
      <c r="C3" s="84">
        <v>35.1</v>
      </c>
    </row>
    <row r="4" spans="2:3" ht="17.25" x14ac:dyDescent="0.3">
      <c r="B4" s="82" t="s">
        <v>155</v>
      </c>
      <c r="C4" s="85">
        <v>31396493</v>
      </c>
    </row>
    <row r="5" spans="2:3" ht="17.25" x14ac:dyDescent="0.3">
      <c r="B5" s="82" t="s">
        <v>140</v>
      </c>
      <c r="C5" s="86">
        <v>2024</v>
      </c>
    </row>
    <row r="6" spans="2:3" ht="17.25" x14ac:dyDescent="0.3">
      <c r="B6" s="82" t="s">
        <v>141</v>
      </c>
      <c r="C6" s="86" t="s">
        <v>142</v>
      </c>
    </row>
    <row r="7" spans="2:3" ht="17.25" x14ac:dyDescent="0.3">
      <c r="B7" s="82" t="s">
        <v>143</v>
      </c>
      <c r="C7" s="86" t="s">
        <v>158</v>
      </c>
    </row>
    <row r="8" spans="2:3" ht="17.25" x14ac:dyDescent="0.3">
      <c r="B8" s="82" t="s">
        <v>144</v>
      </c>
      <c r="C8" s="86" t="s">
        <v>145</v>
      </c>
    </row>
    <row r="9" spans="2:3" ht="17.25" x14ac:dyDescent="0.3">
      <c r="B9" s="82" t="s">
        <v>146</v>
      </c>
      <c r="C9" s="87" t="s">
        <v>147</v>
      </c>
    </row>
    <row r="10" spans="2:3" ht="17.25" x14ac:dyDescent="0.3">
      <c r="B10" s="82" t="s">
        <v>148</v>
      </c>
      <c r="C10" s="94" t="s">
        <v>152</v>
      </c>
    </row>
    <row r="11" spans="2:3" ht="17.25" x14ac:dyDescent="0.3">
      <c r="B11" s="82" t="s">
        <v>149</v>
      </c>
      <c r="C11" s="86" t="s">
        <v>150</v>
      </c>
    </row>
    <row r="12" spans="2:3" ht="17.25" x14ac:dyDescent="0.3">
      <c r="B12" s="88" t="s">
        <v>151</v>
      </c>
      <c r="C12" s="89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2" sqref="E2:G2"/>
    </sheetView>
  </sheetViews>
  <sheetFormatPr defaultRowHeight="15" x14ac:dyDescent="0.25"/>
  <cols>
    <col min="1" max="1" width="58.42578125" customWidth="1"/>
    <col min="2" max="2" width="11" customWidth="1"/>
    <col min="3" max="3" width="11.28515625" customWidth="1"/>
    <col min="4" max="4" width="12.28515625" customWidth="1"/>
    <col min="5" max="5" width="11.28515625" customWidth="1"/>
    <col min="6" max="6" width="11.42578125" customWidth="1"/>
    <col min="7" max="7" width="13.42578125" customWidth="1"/>
  </cols>
  <sheetData>
    <row r="1" spans="1:9" x14ac:dyDescent="0.25">
      <c r="B1">
        <v>1</v>
      </c>
      <c r="C1">
        <v>2</v>
      </c>
      <c r="D1">
        <v>3</v>
      </c>
    </row>
    <row r="2" spans="1:9" s="11" customFormat="1" ht="25.5" customHeight="1" x14ac:dyDescent="0.25">
      <c r="A2" s="9" t="s">
        <v>134</v>
      </c>
      <c r="B2" s="10">
        <v>44560</v>
      </c>
      <c r="C2" s="10">
        <v>44925</v>
      </c>
      <c r="D2" s="10">
        <v>45290</v>
      </c>
      <c r="E2" s="92">
        <v>45656</v>
      </c>
      <c r="F2" s="92">
        <v>46021</v>
      </c>
      <c r="G2" s="92">
        <v>46386</v>
      </c>
    </row>
    <row r="3" spans="1:9" s="1" customFormat="1" ht="15.75" x14ac:dyDescent="0.25">
      <c r="A3" s="62" t="s">
        <v>0</v>
      </c>
      <c r="B3" s="63">
        <v>427597</v>
      </c>
      <c r="C3" s="63">
        <v>540166</v>
      </c>
      <c r="D3" s="63">
        <v>1144674</v>
      </c>
      <c r="E3" s="64">
        <f>D3+351775</f>
        <v>1496449</v>
      </c>
      <c r="F3" s="64">
        <f t="shared" ref="F3:G3" si="0">E3+351775</f>
        <v>1848224</v>
      </c>
      <c r="G3" s="64">
        <f t="shared" si="0"/>
        <v>2199999</v>
      </c>
    </row>
    <row r="4" spans="1:9" s="6" customFormat="1" ht="15.75" x14ac:dyDescent="0.25">
      <c r="A4" s="3" t="s">
        <v>107</v>
      </c>
      <c r="B4" s="4"/>
      <c r="C4" s="5">
        <f>(C3-B3)/B3</f>
        <v>0.26325956449647681</v>
      </c>
      <c r="D4" s="5">
        <f>(D3-C3)/C3</f>
        <v>1.1191152349462943</v>
      </c>
      <c r="E4" s="5">
        <f t="shared" ref="E4:G4" si="1">(E3-D3)/D3</f>
        <v>0.30731457165970399</v>
      </c>
      <c r="F4" s="5">
        <f t="shared" si="1"/>
        <v>0.23507316320168611</v>
      </c>
      <c r="G4" s="5">
        <f t="shared" si="1"/>
        <v>0.19033136676073895</v>
      </c>
    </row>
    <row r="5" spans="1:9" ht="15.75" x14ac:dyDescent="0.25">
      <c r="A5" s="65" t="s">
        <v>1</v>
      </c>
      <c r="B5" s="33">
        <v>106793</v>
      </c>
      <c r="C5" s="33">
        <v>173539</v>
      </c>
      <c r="D5" s="33">
        <v>408492</v>
      </c>
      <c r="E5" s="66">
        <f>E3*E6</f>
        <v>563956.52400641586</v>
      </c>
      <c r="F5" s="66">
        <f t="shared" ref="F5:G5" si="2">F3*F6</f>
        <v>733492.04801283171</v>
      </c>
      <c r="G5" s="66">
        <f t="shared" si="2"/>
        <v>917098.57201924757</v>
      </c>
    </row>
    <row r="6" spans="1:9" s="6" customFormat="1" ht="15.75" x14ac:dyDescent="0.25">
      <c r="A6" s="3" t="s">
        <v>105</v>
      </c>
      <c r="B6" s="5">
        <f>B5/B3</f>
        <v>0.2497515183689315</v>
      </c>
      <c r="C6" s="5">
        <f t="shared" ref="C6:D6" si="3">C5/C3</f>
        <v>0.32126975781519013</v>
      </c>
      <c r="D6" s="5">
        <f t="shared" si="3"/>
        <v>0.35686317676473828</v>
      </c>
      <c r="E6" s="7">
        <f>D6+2%</f>
        <v>0.37686317676473829</v>
      </c>
      <c r="F6" s="7">
        <f t="shared" ref="F6:G6" si="4">E6+2%</f>
        <v>0.39686317676473831</v>
      </c>
      <c r="G6" s="7">
        <f t="shared" si="4"/>
        <v>0.41686317676473833</v>
      </c>
    </row>
    <row r="7" spans="1:9" ht="15.75" x14ac:dyDescent="0.25">
      <c r="A7" s="65" t="s">
        <v>2</v>
      </c>
      <c r="B7" s="33">
        <f>B3-B5</f>
        <v>320804</v>
      </c>
      <c r="C7" s="33">
        <v>366627</v>
      </c>
      <c r="D7" s="33">
        <v>736182</v>
      </c>
      <c r="E7" s="66">
        <f>E3-E5</f>
        <v>932492.47599358414</v>
      </c>
      <c r="F7" s="66">
        <f t="shared" ref="F7:G7" si="5">F3-F5</f>
        <v>1114731.9519871683</v>
      </c>
      <c r="G7" s="66">
        <f t="shared" si="5"/>
        <v>1282900.4279807524</v>
      </c>
    </row>
    <row r="8" spans="1:9" ht="15.75" x14ac:dyDescent="0.25">
      <c r="A8" s="65" t="s">
        <v>3</v>
      </c>
      <c r="B8" s="33">
        <v>48964</v>
      </c>
      <c r="C8" s="33">
        <v>200103</v>
      </c>
      <c r="D8" s="33">
        <v>398738</v>
      </c>
      <c r="E8" s="66">
        <f>E3*E9</f>
        <v>536240.48767444701</v>
      </c>
      <c r="F8" s="66">
        <f t="shared" ref="F8:G8" si="6">F3*F9</f>
        <v>680778.47534889414</v>
      </c>
      <c r="G8" s="66">
        <f t="shared" si="6"/>
        <v>832351.96302334114</v>
      </c>
    </row>
    <row r="9" spans="1:9" s="6" customFormat="1" ht="15.75" x14ac:dyDescent="0.25">
      <c r="A9" s="3" t="s">
        <v>106</v>
      </c>
      <c r="B9" s="5">
        <f>B8/B3</f>
        <v>0.11450969019894901</v>
      </c>
      <c r="C9" s="5">
        <f t="shared" ref="C9:D9" si="7">C8/C3</f>
        <v>0.37044723288766784</v>
      </c>
      <c r="D9" s="5">
        <f t="shared" si="7"/>
        <v>0.3483419733478702</v>
      </c>
      <c r="E9" s="7">
        <f>D9+1%</f>
        <v>0.35834197334787021</v>
      </c>
      <c r="F9" s="7">
        <f t="shared" ref="F9:G9" si="8">E9+1%</f>
        <v>0.36834197334787022</v>
      </c>
      <c r="G9" s="7">
        <f t="shared" si="8"/>
        <v>0.37834197334787023</v>
      </c>
    </row>
    <row r="10" spans="1:9" ht="15.75" x14ac:dyDescent="0.25">
      <c r="A10" s="65" t="s">
        <v>4</v>
      </c>
      <c r="B10" s="33">
        <v>271840</v>
      </c>
      <c r="C10" s="33">
        <v>166524</v>
      </c>
      <c r="D10" s="33">
        <v>337444</v>
      </c>
      <c r="E10" s="66">
        <f>E7-E8</f>
        <v>396251.98831913713</v>
      </c>
      <c r="F10" s="66">
        <f t="shared" ref="F10:G10" si="9">F7-F8</f>
        <v>433953.47663827415</v>
      </c>
      <c r="G10" s="66">
        <f t="shared" si="9"/>
        <v>450548.46495741128</v>
      </c>
    </row>
    <row r="11" spans="1:9" s="1" customFormat="1" ht="15.75" x14ac:dyDescent="0.25">
      <c r="A11" s="62" t="s">
        <v>5</v>
      </c>
      <c r="B11" s="63">
        <v>332554</v>
      </c>
      <c r="C11" s="63">
        <v>402290</v>
      </c>
      <c r="D11" s="63">
        <v>979347</v>
      </c>
      <c r="E11" s="64">
        <f>D11+270217</f>
        <v>1249564</v>
      </c>
      <c r="F11" s="64">
        <f t="shared" ref="F11:G11" si="10">E11+270217</f>
        <v>1519781</v>
      </c>
      <c r="G11" s="64">
        <f t="shared" si="10"/>
        <v>1789998</v>
      </c>
    </row>
    <row r="12" spans="1:9" s="6" customFormat="1" ht="15.75" x14ac:dyDescent="0.25">
      <c r="A12" s="3" t="s">
        <v>108</v>
      </c>
      <c r="B12" s="4"/>
      <c r="C12" s="5">
        <f>(C11-B11)/B11</f>
        <v>0.20969827456593515</v>
      </c>
      <c r="D12" s="5">
        <f>(D11-C11)/C11</f>
        <v>1.4344303860399215</v>
      </c>
      <c r="E12" s="5">
        <f t="shared" ref="E12:G12" si="11">(E11-D11)/D11</f>
        <v>0.27591548245923048</v>
      </c>
      <c r="F12" s="5">
        <f t="shared" si="11"/>
        <v>0.21624902766084811</v>
      </c>
      <c r="G12" s="5">
        <f t="shared" si="11"/>
        <v>0.17779995933624648</v>
      </c>
    </row>
    <row r="13" spans="1:9" ht="15.75" x14ac:dyDescent="0.25">
      <c r="A13" s="65" t="s">
        <v>50</v>
      </c>
      <c r="B13" s="33">
        <f>B10+B11-B15</f>
        <v>324020</v>
      </c>
      <c r="C13" s="33">
        <f>C10+C11-C15</f>
        <v>284164</v>
      </c>
      <c r="D13" s="33">
        <f>D10+D11-D15</f>
        <v>520829</v>
      </c>
      <c r="E13" s="66">
        <f>E14*E11</f>
        <v>664533.78481375845</v>
      </c>
      <c r="F13" s="66">
        <f t="shared" ref="F13:G13" si="12">F14*F11</f>
        <v>808238.56962751702</v>
      </c>
      <c r="G13" s="66">
        <f t="shared" si="12"/>
        <v>951943.35444127559</v>
      </c>
    </row>
    <row r="14" spans="1:9" s="6" customFormat="1" ht="15.75" x14ac:dyDescent="0.25">
      <c r="A14" s="3" t="s">
        <v>109</v>
      </c>
      <c r="B14" s="5">
        <f>B13/B11</f>
        <v>0.97433800224925882</v>
      </c>
      <c r="C14" s="5">
        <f t="shared" ref="C14:D14" si="13">C13/C11</f>
        <v>0.70636605433890975</v>
      </c>
      <c r="D14" s="5">
        <f t="shared" si="13"/>
        <v>0.53181252405939872</v>
      </c>
      <c r="E14" s="12">
        <f>D14</f>
        <v>0.53181252405939872</v>
      </c>
      <c r="F14" s="12">
        <f t="shared" ref="F14:G14" si="14">E14</f>
        <v>0.53181252405939872</v>
      </c>
      <c r="G14" s="12">
        <f t="shared" si="14"/>
        <v>0.53181252405939872</v>
      </c>
    </row>
    <row r="15" spans="1:9" s="2" customFormat="1" ht="15.75" x14ac:dyDescent="0.25">
      <c r="A15" s="65" t="s">
        <v>6</v>
      </c>
      <c r="B15" s="33">
        <v>280374</v>
      </c>
      <c r="C15" s="33">
        <v>284650</v>
      </c>
      <c r="D15" s="33">
        <v>795962</v>
      </c>
      <c r="E15" s="66">
        <f>E10+E11-E13</f>
        <v>981282.20350537868</v>
      </c>
      <c r="F15" s="66">
        <f t="shared" ref="F15:G15" si="15">F10+F11-F13</f>
        <v>1145495.9070107574</v>
      </c>
      <c r="G15" s="66">
        <f t="shared" si="15"/>
        <v>1288603.1105161358</v>
      </c>
      <c r="I15" s="23" t="s">
        <v>103</v>
      </c>
    </row>
    <row r="16" spans="1:9" s="6" customFormat="1" ht="15.75" x14ac:dyDescent="0.25">
      <c r="A16" s="3" t="s">
        <v>110</v>
      </c>
      <c r="B16" s="4"/>
      <c r="C16" s="5">
        <f>(C15-B15)/B15</f>
        <v>1.5251057516032156E-2</v>
      </c>
      <c r="D16" s="5">
        <f t="shared" ref="D16:G16" si="16">(D15-C15)/C15</f>
        <v>1.7962831547514491</v>
      </c>
      <c r="E16" s="5">
        <f t="shared" si="16"/>
        <v>0.23282544079413173</v>
      </c>
      <c r="F16" s="5">
        <f t="shared" si="16"/>
        <v>0.16734605286712365</v>
      </c>
      <c r="G16" s="5">
        <f t="shared" si="16"/>
        <v>0.12493034905626645</v>
      </c>
    </row>
    <row r="17" spans="1:7" ht="15.75" x14ac:dyDescent="0.25">
      <c r="A17" s="65" t="s">
        <v>7</v>
      </c>
      <c r="B17" s="33">
        <v>35816</v>
      </c>
      <c r="C17" s="33">
        <v>60739</v>
      </c>
      <c r="D17" s="33">
        <v>119053</v>
      </c>
      <c r="E17" s="66">
        <f>E18*E15</f>
        <v>156584.38923791755</v>
      </c>
      <c r="F17" s="66">
        <f t="shared" ref="F17:G17" si="17">F18*F15</f>
        <v>194243.12778759995</v>
      </c>
      <c r="G17" s="66">
        <f t="shared" si="17"/>
        <v>231396.02064904716</v>
      </c>
    </row>
    <row r="18" spans="1:7" s="6" customFormat="1" ht="15.75" x14ac:dyDescent="0.25">
      <c r="A18" s="3" t="s">
        <v>111</v>
      </c>
      <c r="B18" s="5">
        <f>B17/B15</f>
        <v>0.12774365668713933</v>
      </c>
      <c r="C18" s="5">
        <f t="shared" ref="C18:D18" si="18">C17/C15</f>
        <v>0.21338134551203233</v>
      </c>
      <c r="D18" s="5">
        <f t="shared" si="18"/>
        <v>0.14957121068593726</v>
      </c>
      <c r="E18" s="7">
        <f>D18+1%</f>
        <v>0.15957121068593727</v>
      </c>
      <c r="F18" s="7">
        <f t="shared" ref="F18:G18" si="19">E18+1%</f>
        <v>0.16957121068593728</v>
      </c>
      <c r="G18" s="7">
        <f t="shared" si="19"/>
        <v>0.17957121068593729</v>
      </c>
    </row>
    <row r="19" spans="1:7" ht="15.75" x14ac:dyDescent="0.25">
      <c r="A19" s="65" t="s">
        <v>8</v>
      </c>
      <c r="B19" s="33">
        <v>244558</v>
      </c>
      <c r="C19" s="33">
        <v>223911</v>
      </c>
      <c r="D19" s="33">
        <v>676909</v>
      </c>
      <c r="E19" s="66">
        <f>E15-E17</f>
        <v>824697.81426746119</v>
      </c>
      <c r="F19" s="66">
        <f t="shared" ref="F19:G19" si="20">F15-F17</f>
        <v>951252.77922315744</v>
      </c>
      <c r="G19" s="66">
        <f t="shared" si="20"/>
        <v>1057207.0898670887</v>
      </c>
    </row>
    <row r="20" spans="1:7" ht="15.75" x14ac:dyDescent="0.25">
      <c r="A20" s="65" t="s">
        <v>51</v>
      </c>
      <c r="B20" s="33">
        <f>B19-B21</f>
        <v>156</v>
      </c>
      <c r="C20" s="33">
        <f>C19-C21</f>
        <v>-139</v>
      </c>
      <c r="D20" s="33">
        <f>D19-D21</f>
        <v>340</v>
      </c>
      <c r="E20" s="23">
        <v>0</v>
      </c>
      <c r="F20" s="23">
        <v>0</v>
      </c>
      <c r="G20" s="23">
        <v>0</v>
      </c>
    </row>
    <row r="21" spans="1:7" s="1" customFormat="1" ht="15.75" x14ac:dyDescent="0.25">
      <c r="A21" s="62" t="s">
        <v>9</v>
      </c>
      <c r="B21" s="63">
        <v>244402</v>
      </c>
      <c r="C21" s="63">
        <v>224050</v>
      </c>
      <c r="D21" s="63">
        <v>676569</v>
      </c>
      <c r="E21" s="64">
        <f>E19-E20</f>
        <v>824697.81426746119</v>
      </c>
      <c r="F21" s="64">
        <f t="shared" ref="F21:G21" si="21">F19-F20</f>
        <v>951252.77922315744</v>
      </c>
      <c r="G21" s="64">
        <f t="shared" si="21"/>
        <v>1057207.0898670887</v>
      </c>
    </row>
    <row r="22" spans="1:7" s="6" customFormat="1" x14ac:dyDescent="0.25">
      <c r="A22" s="6" t="s">
        <v>112</v>
      </c>
      <c r="C22" s="8">
        <f>(C21-B21)/B21</f>
        <v>-8.3272640976751411E-2</v>
      </c>
      <c r="D22" s="8">
        <f t="shared" ref="D22:G22" si="22">(D21-C21)/C21</f>
        <v>2.0197232760544521</v>
      </c>
      <c r="E22" s="8">
        <f t="shared" si="22"/>
        <v>0.2189411786047856</v>
      </c>
      <c r="F22" s="8">
        <f t="shared" si="22"/>
        <v>0.15345616632694589</v>
      </c>
      <c r="G22" s="8">
        <f t="shared" si="22"/>
        <v>0.11138396960107605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1" sqref="E1:G1"/>
    </sheetView>
  </sheetViews>
  <sheetFormatPr defaultRowHeight="15" x14ac:dyDescent="0.25"/>
  <cols>
    <col min="1" max="1" width="60.140625" bestFit="1" customWidth="1"/>
    <col min="2" max="2" width="12.42578125" customWidth="1"/>
    <col min="3" max="3" width="16.140625" customWidth="1"/>
    <col min="4" max="4" width="15.85546875" customWidth="1"/>
    <col min="5" max="5" width="16.28515625" customWidth="1"/>
    <col min="6" max="6" width="13.85546875" customWidth="1"/>
    <col min="7" max="7" width="13.5703125" customWidth="1"/>
  </cols>
  <sheetData>
    <row r="1" spans="1:7" s="11" customFormat="1" ht="25.5" customHeight="1" x14ac:dyDescent="0.25">
      <c r="A1" s="9" t="s">
        <v>132</v>
      </c>
      <c r="B1" s="10">
        <v>44560</v>
      </c>
      <c r="C1" s="10">
        <v>44925</v>
      </c>
      <c r="D1" s="10">
        <v>45290</v>
      </c>
      <c r="E1" s="92">
        <v>45656</v>
      </c>
      <c r="F1" s="92">
        <v>46021</v>
      </c>
      <c r="G1" s="92">
        <v>46386</v>
      </c>
    </row>
    <row r="2" spans="1:7" ht="15.75" x14ac:dyDescent="0.25">
      <c r="A2" s="15" t="s">
        <v>11</v>
      </c>
      <c r="B2" s="16">
        <v>127322</v>
      </c>
      <c r="C2" s="16">
        <v>159776</v>
      </c>
      <c r="D2" s="16">
        <v>428475</v>
      </c>
      <c r="E2" s="21">
        <f>D2*(1+E3)</f>
        <v>1028340</v>
      </c>
      <c r="F2" s="21">
        <f t="shared" ref="F2:G2" si="0">E2*(1+F3)</f>
        <v>2468016</v>
      </c>
      <c r="G2" s="21">
        <f t="shared" si="0"/>
        <v>5923238.3999999994</v>
      </c>
    </row>
    <row r="3" spans="1:7" s="25" customFormat="1" ht="15.75" x14ac:dyDescent="0.25">
      <c r="A3" s="78" t="s">
        <v>115</v>
      </c>
      <c r="B3" s="24"/>
      <c r="C3" s="5">
        <f>(C2-B2)/B2</f>
        <v>0.25489703272018976</v>
      </c>
      <c r="D3" s="5">
        <f>(D2-C2)/C2</f>
        <v>1.6817231624273983</v>
      </c>
      <c r="E3" s="5">
        <v>1.4</v>
      </c>
      <c r="F3" s="5">
        <v>1.4</v>
      </c>
      <c r="G3" s="5">
        <v>1.4</v>
      </c>
    </row>
    <row r="4" spans="1:7" ht="15.75" x14ac:dyDescent="0.25">
      <c r="A4" s="15" t="s">
        <v>12</v>
      </c>
      <c r="B4" s="16">
        <v>-176392</v>
      </c>
      <c r="C4" s="16">
        <v>-191529</v>
      </c>
      <c r="D4" s="16">
        <v>-235478</v>
      </c>
      <c r="E4" s="21">
        <f>D4*(1+20%)</f>
        <v>-282573.59999999998</v>
      </c>
      <c r="F4" s="21">
        <f t="shared" ref="F4:G4" si="1">E4*(1+20%)</f>
        <v>-339088.31999999995</v>
      </c>
      <c r="G4" s="21">
        <f t="shared" si="1"/>
        <v>-406905.98399999994</v>
      </c>
    </row>
    <row r="5" spans="1:7" s="25" customFormat="1" ht="15.75" x14ac:dyDescent="0.25">
      <c r="A5" s="78" t="s">
        <v>114</v>
      </c>
      <c r="B5" s="24"/>
      <c r="C5" s="5">
        <f>(C4-B4)/B4</f>
        <v>8.5814549412671776E-2</v>
      </c>
      <c r="D5" s="5">
        <f>(D4-C4)/C4</f>
        <v>0.22946394540774503</v>
      </c>
      <c r="E5" s="5">
        <v>0.2</v>
      </c>
      <c r="F5" s="5">
        <v>0.2</v>
      </c>
      <c r="G5" s="5">
        <v>0.2</v>
      </c>
    </row>
    <row r="6" spans="1:7" s="2" customFormat="1" ht="15.75" x14ac:dyDescent="0.25">
      <c r="A6" s="15" t="s">
        <v>13</v>
      </c>
      <c r="B6" s="16">
        <v>2179607</v>
      </c>
      <c r="C6" s="16">
        <v>3504555</v>
      </c>
      <c r="D6" s="16">
        <v>6087688</v>
      </c>
      <c r="E6" s="17">
        <f>D6+Cashflow!E25</f>
        <v>5746771.4134458592</v>
      </c>
      <c r="F6" s="17">
        <f>E6+Cashflow!F25</f>
        <v>4629590.6380245555</v>
      </c>
      <c r="G6" s="17">
        <f>F6+Cashflow!G25</f>
        <v>2639475.7329806993</v>
      </c>
    </row>
    <row r="7" spans="1:7" s="25" customFormat="1" ht="15.75" x14ac:dyDescent="0.25">
      <c r="A7" s="78" t="s">
        <v>113</v>
      </c>
      <c r="B7" s="24"/>
      <c r="C7" s="5">
        <f>(C6-B6)/B6</f>
        <v>0.60788389833580092</v>
      </c>
      <c r="D7" s="5">
        <f>(D6-C6)/C6</f>
        <v>0.73707874466230372</v>
      </c>
    </row>
    <row r="8" spans="1:7" ht="15.75" x14ac:dyDescent="0.25">
      <c r="A8" s="15" t="s">
        <v>14</v>
      </c>
      <c r="B8" s="16">
        <v>3558340</v>
      </c>
      <c r="C8" s="16">
        <v>4333156</v>
      </c>
      <c r="D8" s="16">
        <v>6936021</v>
      </c>
      <c r="E8" s="17">
        <f>D8*(1+E9)</f>
        <v>9779789.6099999994</v>
      </c>
      <c r="F8" s="17">
        <f t="shared" ref="F8:G8" si="2">E8*(1+F9)</f>
        <v>13789503.350099998</v>
      </c>
      <c r="G8" s="17">
        <f t="shared" si="2"/>
        <v>19443199.723640997</v>
      </c>
    </row>
    <row r="9" spans="1:7" s="25" customFormat="1" ht="15.75" x14ac:dyDescent="0.25">
      <c r="A9" s="78" t="s">
        <v>116</v>
      </c>
      <c r="B9" s="24"/>
      <c r="C9" s="5">
        <f>(C8-B8)/B8</f>
        <v>0.21774647728997229</v>
      </c>
      <c r="D9" s="5">
        <f>(D8-C8)/C8</f>
        <v>0.60068573575472473</v>
      </c>
      <c r="E9" s="5">
        <v>0.41</v>
      </c>
      <c r="F9" s="5">
        <v>0.41</v>
      </c>
      <c r="G9" s="5">
        <v>0.41</v>
      </c>
    </row>
    <row r="10" spans="1:7" ht="15.75" x14ac:dyDescent="0.25">
      <c r="A10" s="15" t="s">
        <v>15</v>
      </c>
      <c r="B10" s="16">
        <v>3355728</v>
      </c>
      <c r="C10" s="16">
        <v>4013705</v>
      </c>
      <c r="D10" s="16">
        <v>6556470</v>
      </c>
      <c r="E10" s="17">
        <f>D10*(1+E11)</f>
        <v>9113493.3000000007</v>
      </c>
      <c r="F10" s="17">
        <f t="shared" ref="F10:G10" si="3">E10*(1+F11)</f>
        <v>12667755.687000003</v>
      </c>
      <c r="G10" s="17">
        <f t="shared" si="3"/>
        <v>17608180.404930007</v>
      </c>
    </row>
    <row r="11" spans="1:7" s="25" customFormat="1" ht="15.75" x14ac:dyDescent="0.25">
      <c r="A11" s="78" t="s">
        <v>117</v>
      </c>
      <c r="B11" s="24"/>
      <c r="C11" s="5">
        <f>(C10-B10)/B10</f>
        <v>0.19607578444975279</v>
      </c>
      <c r="D11" s="5">
        <f>(D10-C10)/C10</f>
        <v>0.63352064987337131</v>
      </c>
      <c r="E11" s="5">
        <v>0.39</v>
      </c>
      <c r="F11" s="5">
        <v>0.39</v>
      </c>
      <c r="G11" s="5">
        <v>0.39</v>
      </c>
    </row>
    <row r="12" spans="1:7" ht="15.75" x14ac:dyDescent="0.25">
      <c r="A12" s="15" t="s">
        <v>16</v>
      </c>
      <c r="B12" s="16">
        <v>200008</v>
      </c>
      <c r="C12" s="16">
        <v>230843</v>
      </c>
      <c r="D12" s="16">
        <v>295532</v>
      </c>
      <c r="E12" s="17">
        <f>D12*(1+12%)</f>
        <v>330995.84000000003</v>
      </c>
      <c r="F12" s="17">
        <f t="shared" ref="F12:G12" si="4">E12*(1+12%)</f>
        <v>370715.34080000006</v>
      </c>
      <c r="G12" s="17">
        <f t="shared" si="4"/>
        <v>415201.1816960001</v>
      </c>
    </row>
    <row r="13" spans="1:7" s="6" customFormat="1" ht="15.75" x14ac:dyDescent="0.25">
      <c r="A13" s="78" t="s">
        <v>118</v>
      </c>
      <c r="B13" s="4"/>
      <c r="C13" s="5">
        <f>(C12-B12)/B12</f>
        <v>0.15416883324667013</v>
      </c>
      <c r="D13" s="5">
        <f>(D12-C12)/C12</f>
        <v>0.28022941999540812</v>
      </c>
      <c r="E13" s="5">
        <f t="shared" ref="E13:G13" si="5">(E12-D12)/D12</f>
        <v>0.12000000000000009</v>
      </c>
      <c r="F13" s="5">
        <f t="shared" si="5"/>
        <v>0.12000000000000011</v>
      </c>
      <c r="G13" s="5">
        <f t="shared" si="5"/>
        <v>0.12000000000000008</v>
      </c>
    </row>
    <row r="14" spans="1:7" ht="15.75" x14ac:dyDescent="0.25">
      <c r="A14" s="15" t="s">
        <v>17</v>
      </c>
      <c r="B14" s="16">
        <v>25001</v>
      </c>
      <c r="C14" s="16">
        <v>25251</v>
      </c>
      <c r="D14" s="16">
        <v>47018</v>
      </c>
      <c r="E14" s="17">
        <f>D14*(1+84%)</f>
        <v>86513.12</v>
      </c>
      <c r="F14" s="17">
        <f t="shared" ref="F14:G14" si="6">E14*(1+84%)</f>
        <v>159184.14079999996</v>
      </c>
      <c r="G14" s="17">
        <f t="shared" si="6"/>
        <v>292898.81907199993</v>
      </c>
    </row>
    <row r="15" spans="1:7" s="6" customFormat="1" ht="15.75" x14ac:dyDescent="0.25">
      <c r="A15" s="78" t="s">
        <v>119</v>
      </c>
      <c r="B15" s="4"/>
      <c r="C15" s="5">
        <f>(C14-B14)/B14</f>
        <v>9.9996000159993607E-3</v>
      </c>
      <c r="D15" s="5">
        <f>(D14-C14)/C14</f>
        <v>0.86202526632608611</v>
      </c>
      <c r="E15" s="5">
        <f t="shared" ref="E15:G15" si="7">(E14-D14)/D14</f>
        <v>0.83999999999999986</v>
      </c>
      <c r="F15" s="5">
        <f t="shared" si="7"/>
        <v>0.83999999999999964</v>
      </c>
      <c r="G15" s="5">
        <f t="shared" si="7"/>
        <v>0.84</v>
      </c>
    </row>
    <row r="16" spans="1:7" ht="15.75" x14ac:dyDescent="0.25">
      <c r="A16" s="15" t="s">
        <v>18</v>
      </c>
      <c r="B16" s="16">
        <v>178229</v>
      </c>
      <c r="C16" s="16">
        <v>209872</v>
      </c>
      <c r="D16" s="16">
        <v>252729</v>
      </c>
      <c r="E16" s="17">
        <f>D16*(1+25%)</f>
        <v>315911.25</v>
      </c>
      <c r="F16" s="17">
        <f t="shared" ref="F16:G16" si="8">E16*(1+25%)</f>
        <v>394889.0625</v>
      </c>
      <c r="G16" s="17">
        <f t="shared" si="8"/>
        <v>493611.328125</v>
      </c>
    </row>
    <row r="17" spans="1:7" s="6" customFormat="1" ht="15.75" x14ac:dyDescent="0.25">
      <c r="A17" s="78" t="s">
        <v>120</v>
      </c>
      <c r="B17" s="4"/>
      <c r="C17" s="5">
        <f>(C16-B16)/B16</f>
        <v>0.1775412531069579</v>
      </c>
      <c r="D17" s="5">
        <f>(D16-C16)/C16</f>
        <v>0.2042054204467485</v>
      </c>
      <c r="E17" s="5">
        <f t="shared" ref="E17:G17" si="9">(E16-D16)/D16</f>
        <v>0.25</v>
      </c>
      <c r="F17" s="5">
        <f t="shared" si="9"/>
        <v>0.25</v>
      </c>
      <c r="G17" s="5">
        <f t="shared" si="9"/>
        <v>0.25</v>
      </c>
    </row>
    <row r="18" spans="1:7" s="1" customFormat="1" ht="15.75" x14ac:dyDescent="0.25">
      <c r="A18" s="18" t="s">
        <v>19</v>
      </c>
      <c r="B18" s="19">
        <v>9447843</v>
      </c>
      <c r="C18" s="19">
        <v>12285629</v>
      </c>
      <c r="D18" s="19">
        <v>20368455</v>
      </c>
      <c r="E18" s="20">
        <f>E2+E6+E8+E10+E12+E14+E16</f>
        <v>26401814.533445861</v>
      </c>
      <c r="F18" s="20">
        <f t="shared" ref="F18:G18" si="10">F2+F6+F8+F10+F12+F14+F16</f>
        <v>34479654.219224557</v>
      </c>
      <c r="G18" s="20">
        <f t="shared" si="10"/>
        <v>46815805.590444706</v>
      </c>
    </row>
    <row r="19" spans="1:7" ht="15.75" x14ac:dyDescent="0.25">
      <c r="A19" s="15" t="s">
        <v>20</v>
      </c>
      <c r="B19" s="33">
        <v>6558926</v>
      </c>
      <c r="C19" s="16">
        <v>9089333</v>
      </c>
      <c r="D19" s="16">
        <v>15521918</v>
      </c>
      <c r="E19" s="21">
        <f>D19*(1+32%)</f>
        <v>20488931.760000002</v>
      </c>
      <c r="F19" s="21">
        <f t="shared" ref="F19:G19" si="11">E19*(1+32%)</f>
        <v>27045389.923200004</v>
      </c>
      <c r="G19" s="21">
        <f t="shared" si="11"/>
        <v>35699914.698624007</v>
      </c>
    </row>
    <row r="20" spans="1:7" s="6" customFormat="1" ht="15.75" x14ac:dyDescent="0.25">
      <c r="A20" s="3" t="s">
        <v>125</v>
      </c>
      <c r="B20" s="5"/>
      <c r="C20" s="5">
        <f>(C19-B19)/B19</f>
        <v>0.38579593671280937</v>
      </c>
      <c r="D20" s="5">
        <f t="shared" ref="D20:G20" si="12">(D19-C19)/C19</f>
        <v>0.70770704517042116</v>
      </c>
      <c r="E20" s="5">
        <f t="shared" si="12"/>
        <v>0.32000000000000012</v>
      </c>
      <c r="F20" s="5">
        <f t="shared" si="12"/>
        <v>0.32000000000000006</v>
      </c>
      <c r="G20" s="5">
        <f t="shared" si="12"/>
        <v>0.32000000000000006</v>
      </c>
    </row>
    <row r="21" spans="1:7" ht="15.75" x14ac:dyDescent="0.25">
      <c r="A21" s="15" t="s">
        <v>21</v>
      </c>
      <c r="B21" s="16">
        <v>16909</v>
      </c>
      <c r="C21" s="16">
        <v>64856</v>
      </c>
      <c r="D21" s="16">
        <v>33877</v>
      </c>
      <c r="E21" s="17">
        <f>E22*('P$L'!E3+'P$L'!E11)</f>
        <v>82380.39</v>
      </c>
      <c r="F21" s="17">
        <f>F22*('P$L'!F3+'P$L'!F11)</f>
        <v>101040.15</v>
      </c>
      <c r="G21" s="17">
        <f>G22*('P$L'!G3+'P$L'!G11)</f>
        <v>119699.90999999999</v>
      </c>
    </row>
    <row r="22" spans="1:7" s="6" customFormat="1" ht="15.75" x14ac:dyDescent="0.25">
      <c r="A22" s="3" t="s">
        <v>121</v>
      </c>
      <c r="B22" s="5">
        <f>B21/('P$L'!B3+'P$L'!B11)</f>
        <v>2.2244264626370289E-2</v>
      </c>
      <c r="C22" s="5">
        <f>C21/('P$L'!C3+'P$L'!C11)</f>
        <v>6.8815944723148878E-2</v>
      </c>
      <c r="D22" s="5">
        <f>D21/('P$L'!D3+'P$L'!D11)</f>
        <v>1.5949465659708638E-2</v>
      </c>
      <c r="E22" s="5">
        <v>0.03</v>
      </c>
      <c r="F22" s="5">
        <v>0.03</v>
      </c>
      <c r="G22" s="5">
        <v>0.03</v>
      </c>
    </row>
    <row r="23" spans="1:7" ht="15.75" x14ac:dyDescent="0.25">
      <c r="A23" s="15" t="s">
        <v>22</v>
      </c>
      <c r="B23" s="16">
        <v>19541</v>
      </c>
      <c r="C23" s="16">
        <v>13738</v>
      </c>
      <c r="D23" s="16">
        <v>17203</v>
      </c>
      <c r="E23" s="17">
        <f>E24*('P$L'!E3+'P$L'!E11)</f>
        <v>22240.675416580158</v>
      </c>
      <c r="F23" s="17">
        <f>F24*('P$L'!F3+'P$L'!F11)</f>
        <v>27278.350833160312</v>
      </c>
      <c r="G23" s="17">
        <f>G24*('P$L'!G3+'P$L'!G11)</f>
        <v>32316.026249740469</v>
      </c>
    </row>
    <row r="24" spans="1:7" s="6" customFormat="1" ht="15.75" x14ac:dyDescent="0.25">
      <c r="A24" s="3" t="s">
        <v>121</v>
      </c>
      <c r="B24" s="5">
        <f>B23/('P$L'!B3+'P$L'!B11)</f>
        <v>2.5706734582997326E-2</v>
      </c>
      <c r="C24" s="5">
        <f>C23/('P$L'!C3+'P$L'!C11)</f>
        <v>1.4576807829755447E-2</v>
      </c>
      <c r="D24" s="5">
        <f>D23/('P$L'!D3+'P$L'!D11)</f>
        <v>8.0992607888528412E-3</v>
      </c>
      <c r="E24" s="5">
        <v>8.0992607888528412E-3</v>
      </c>
      <c r="F24" s="5">
        <v>8.0992607888528412E-3</v>
      </c>
      <c r="G24" s="5">
        <v>8.0992607888528412E-3</v>
      </c>
    </row>
    <row r="25" spans="1:7" ht="15.75" x14ac:dyDescent="0.25">
      <c r="A25" s="15" t="s">
        <v>23</v>
      </c>
      <c r="B25" s="16">
        <v>820370</v>
      </c>
      <c r="C25" s="16">
        <v>1289632</v>
      </c>
      <c r="D25" s="16">
        <v>1694850</v>
      </c>
      <c r="E25" s="21">
        <f>E26*E18</f>
        <v>2376163.3080101274</v>
      </c>
      <c r="F25" s="21">
        <f t="shared" ref="F25:G25" si="13">F26*F18</f>
        <v>3103168.8797302102</v>
      </c>
      <c r="G25" s="21">
        <f t="shared" si="13"/>
        <v>4213422.503140023</v>
      </c>
    </row>
    <row r="26" spans="1:7" s="6" customFormat="1" ht="15.75" x14ac:dyDescent="0.25">
      <c r="A26" s="3" t="s">
        <v>126</v>
      </c>
      <c r="B26" s="5">
        <f>B25/B18</f>
        <v>8.6831459836917271E-2</v>
      </c>
      <c r="C26" s="5">
        <f t="shared" ref="C26:D26" si="14">C25/C18</f>
        <v>0.10497077520410229</v>
      </c>
      <c r="D26" s="5">
        <f t="shared" si="14"/>
        <v>8.3209551239895221E-2</v>
      </c>
      <c r="E26" s="7">
        <f>9%</f>
        <v>0.09</v>
      </c>
      <c r="F26" s="7">
        <f>9%</f>
        <v>0.09</v>
      </c>
      <c r="G26" s="7">
        <f>9%</f>
        <v>0.09</v>
      </c>
    </row>
    <row r="27" spans="1:7" ht="15.75" x14ac:dyDescent="0.25">
      <c r="A27" s="15" t="s">
        <v>24</v>
      </c>
      <c r="B27" s="16">
        <v>11603</v>
      </c>
      <c r="C27" s="16">
        <v>16654</v>
      </c>
      <c r="D27" s="16">
        <v>59310</v>
      </c>
      <c r="E27" s="17">
        <f>E28*'P$L'!E21</f>
        <v>65975.825141396897</v>
      </c>
      <c r="F27" s="17">
        <f>F28*'P$L'!F21</f>
        <v>76100.222337852596</v>
      </c>
      <c r="G27" s="17">
        <f>G28*'P$L'!G21</f>
        <v>84576.567189367095</v>
      </c>
    </row>
    <row r="28" spans="1:7" s="6" customFormat="1" ht="15.75" x14ac:dyDescent="0.25">
      <c r="A28" s="3" t="s">
        <v>122</v>
      </c>
      <c r="B28" s="5">
        <f>B27/'P$L'!B21</f>
        <v>4.7475061578874149E-2</v>
      </c>
      <c r="C28" s="5">
        <f>C27/'P$L'!C21</f>
        <v>7.4331622405713005E-2</v>
      </c>
      <c r="D28" s="5">
        <f>D27/'P$L'!D21</f>
        <v>8.7662899127805144E-2</v>
      </c>
      <c r="E28" s="12">
        <v>0.08</v>
      </c>
      <c r="F28" s="12">
        <v>0.08</v>
      </c>
      <c r="G28" s="12">
        <v>0.08</v>
      </c>
    </row>
    <row r="29" spans="1:7" ht="21" customHeight="1" x14ac:dyDescent="0.25">
      <c r="A29" s="15" t="s">
        <v>25</v>
      </c>
      <c r="B29" s="33">
        <v>741976</v>
      </c>
      <c r="C29" s="16">
        <v>433289</v>
      </c>
      <c r="D29" s="16">
        <v>719545</v>
      </c>
      <c r="E29" s="17">
        <f>E30*E18</f>
        <v>932682.11253471614</v>
      </c>
      <c r="F29" s="17">
        <f t="shared" ref="F29:G29" si="15">F30*F18</f>
        <v>1218043.4301556959</v>
      </c>
      <c r="G29" s="17">
        <f t="shared" si="15"/>
        <v>1653835.739312409</v>
      </c>
    </row>
    <row r="30" spans="1:7" s="6" customFormat="1" ht="15.75" x14ac:dyDescent="0.25">
      <c r="A30" s="3" t="s">
        <v>123</v>
      </c>
      <c r="B30" s="5">
        <f>B29/B18</f>
        <v>7.8533904511326025E-2</v>
      </c>
      <c r="C30" s="5">
        <f t="shared" ref="C30:D30" si="16">C29/C18</f>
        <v>3.5267954127542023E-2</v>
      </c>
      <c r="D30" s="5">
        <f t="shared" si="16"/>
        <v>3.5326439830610616E-2</v>
      </c>
      <c r="E30" s="7">
        <v>3.5326439830610616E-2</v>
      </c>
      <c r="F30" s="7">
        <v>3.5326439830610616E-2</v>
      </c>
      <c r="G30" s="7">
        <v>3.5326439830610616E-2</v>
      </c>
    </row>
    <row r="31" spans="1:7" s="1" customFormat="1" ht="15.75" x14ac:dyDescent="0.25">
      <c r="A31" s="18" t="s">
        <v>26</v>
      </c>
      <c r="B31" s="20">
        <f t="shared" ref="B31:D31" si="17">B19+B21+B23+B25+B27+B29</f>
        <v>8169325</v>
      </c>
      <c r="C31" s="20">
        <f t="shared" si="17"/>
        <v>10907502</v>
      </c>
      <c r="D31" s="20">
        <f t="shared" si="17"/>
        <v>18046703</v>
      </c>
      <c r="E31" s="20">
        <f>E19+E21+E23+E25+E27+E29</f>
        <v>23968374.071102824</v>
      </c>
      <c r="F31" s="20">
        <f t="shared" ref="F31:G31" si="18">F19+F21+F23+F25+F27+F29</f>
        <v>31571020.956256919</v>
      </c>
      <c r="G31" s="20">
        <f t="shared" si="18"/>
        <v>41803765.444515549</v>
      </c>
    </row>
    <row r="32" spans="1:7" s="6" customFormat="1" ht="15.75" x14ac:dyDescent="0.25">
      <c r="A32" s="3" t="s">
        <v>124</v>
      </c>
      <c r="B32" s="8">
        <f>B31/B18</f>
        <v>0.86467620175314086</v>
      </c>
      <c r="C32" s="8">
        <f t="shared" ref="C32:G32" si="19">C31/C18</f>
        <v>0.88782609339741581</v>
      </c>
      <c r="D32" s="8">
        <f t="shared" si="19"/>
        <v>0.88601236568998487</v>
      </c>
      <c r="E32" s="8">
        <f t="shared" si="19"/>
        <v>0.90783055993138839</v>
      </c>
      <c r="F32" s="8">
        <f t="shared" si="19"/>
        <v>0.91564204082574896</v>
      </c>
      <c r="G32" s="8">
        <f t="shared" si="19"/>
        <v>0.89294128163091713</v>
      </c>
    </row>
    <row r="33" spans="1:7" ht="15.75" x14ac:dyDescent="0.25">
      <c r="A33" s="15" t="s">
        <v>27</v>
      </c>
      <c r="B33" s="16">
        <v>15698</v>
      </c>
      <c r="C33" s="16">
        <v>15698</v>
      </c>
      <c r="D33" s="16">
        <v>15698</v>
      </c>
      <c r="E33" s="22">
        <v>15698</v>
      </c>
      <c r="F33" s="22">
        <v>15698</v>
      </c>
      <c r="G33" s="22">
        <v>15698</v>
      </c>
    </row>
    <row r="34" spans="1:7" ht="15.75" x14ac:dyDescent="0.25">
      <c r="A34" s="15" t="s">
        <v>28</v>
      </c>
      <c r="B34" s="16">
        <v>255047</v>
      </c>
      <c r="C34" s="16">
        <v>255047</v>
      </c>
      <c r="D34" s="16">
        <v>255047</v>
      </c>
      <c r="E34" s="22">
        <v>255047</v>
      </c>
      <c r="F34" s="22">
        <v>255047</v>
      </c>
      <c r="G34" s="22">
        <v>255047</v>
      </c>
    </row>
    <row r="35" spans="1:7" ht="15.75" x14ac:dyDescent="0.25">
      <c r="A35" s="15" t="s">
        <v>29</v>
      </c>
      <c r="B35" s="16">
        <v>883196</v>
      </c>
      <c r="C35" s="16">
        <v>936416</v>
      </c>
      <c r="D35" s="16">
        <v>1588495</v>
      </c>
      <c r="E35" s="21">
        <f>2059024.62299208-447964</f>
        <v>1611060.6229920799</v>
      </c>
      <c r="F35" s="21">
        <f>2688999.1572246-743854.5</f>
        <v>1945144.6572246002</v>
      </c>
      <c r="G35" s="21">
        <f>3651070.88885207+201195.5</f>
        <v>3852266.3888520701</v>
      </c>
    </row>
    <row r="36" spans="1:7" s="6" customFormat="1" ht="15.75" x14ac:dyDescent="0.25">
      <c r="A36" s="3" t="s">
        <v>127</v>
      </c>
      <c r="B36" s="5">
        <f>B35/B18</f>
        <v>9.3481231641973722E-2</v>
      </c>
      <c r="C36" s="5">
        <f t="shared" ref="C36:G36" si="20">C35/C18</f>
        <v>7.6220436088376101E-2</v>
      </c>
      <c r="D36" s="5">
        <f t="shared" si="20"/>
        <v>7.7987996634992687E-2</v>
      </c>
      <c r="E36" s="5">
        <f t="shared" si="20"/>
        <v>6.1020829494548026E-2</v>
      </c>
      <c r="F36" s="5">
        <f t="shared" si="20"/>
        <v>5.6414273903595609E-2</v>
      </c>
      <c r="G36" s="5">
        <f t="shared" si="20"/>
        <v>8.2285594368546613E-2</v>
      </c>
    </row>
    <row r="37" spans="1:7" ht="15.75" x14ac:dyDescent="0.25">
      <c r="A37" s="15" t="s">
        <v>30</v>
      </c>
      <c r="B37" s="16">
        <v>45473</v>
      </c>
      <c r="C37" s="16">
        <v>46980</v>
      </c>
      <c r="D37" s="16">
        <v>176909</v>
      </c>
      <c r="E37" s="17">
        <f>E38*'P$L'!E21</f>
        <v>181433.51913884145</v>
      </c>
      <c r="F37" s="17">
        <f>F38*'P$L'!F21</f>
        <v>209275.61142909463</v>
      </c>
      <c r="G37" s="17">
        <f>G38*'P$L'!G21</f>
        <v>232585.55977075952</v>
      </c>
    </row>
    <row r="38" spans="1:7" s="6" customFormat="1" ht="15.75" x14ac:dyDescent="0.25">
      <c r="A38" s="3" t="s">
        <v>122</v>
      </c>
      <c r="B38" s="5">
        <f>B37/'P$L'!B21</f>
        <v>0.1860582155628841</v>
      </c>
      <c r="C38" s="5">
        <f>C37/'P$L'!C21</f>
        <v>0.20968533809417542</v>
      </c>
      <c r="D38" s="5">
        <f>D37/'P$L'!D21</f>
        <v>0.26147961257462282</v>
      </c>
      <c r="E38" s="12">
        <v>0.22</v>
      </c>
      <c r="F38" s="12">
        <v>0.22</v>
      </c>
      <c r="G38" s="12">
        <v>0.22</v>
      </c>
    </row>
    <row r="39" spans="1:7" ht="15.75" x14ac:dyDescent="0.25">
      <c r="A39" s="15" t="s">
        <v>31</v>
      </c>
      <c r="B39" s="16">
        <v>79104</v>
      </c>
      <c r="C39" s="16">
        <v>123986</v>
      </c>
      <c r="D39" s="16">
        <v>285603</v>
      </c>
      <c r="E39" s="21">
        <f>E40*E18</f>
        <v>370201.73774573172</v>
      </c>
      <c r="F39" s="21">
        <f t="shared" ref="F39:G39" si="21">F40*F18</f>
        <v>483467.82728357113</v>
      </c>
      <c r="G39" s="21">
        <f t="shared" si="21"/>
        <v>656443.23656594369</v>
      </c>
    </row>
    <row r="40" spans="1:7" s="6" customFormat="1" ht="15.75" x14ac:dyDescent="0.25">
      <c r="A40" s="3" t="s">
        <v>128</v>
      </c>
      <c r="B40" s="5">
        <f>B39/B18</f>
        <v>8.3727047538787423E-3</v>
      </c>
      <c r="C40" s="5">
        <f t="shared" ref="C40:D40" si="22">C39/C18</f>
        <v>1.0091953777865179E-2</v>
      </c>
      <c r="D40" s="5">
        <f t="shared" si="22"/>
        <v>1.4021829343462721E-2</v>
      </c>
      <c r="E40" s="7">
        <v>1.4021829343462721E-2</v>
      </c>
      <c r="F40" s="7">
        <v>1.4021829343462721E-2</v>
      </c>
      <c r="G40" s="7">
        <v>1.4021829343462721E-2</v>
      </c>
    </row>
    <row r="41" spans="1:7" s="1" customFormat="1" ht="15.75" x14ac:dyDescent="0.25">
      <c r="A41" s="18" t="s">
        <v>32</v>
      </c>
      <c r="B41" s="19">
        <v>1278518</v>
      </c>
      <c r="C41" s="19">
        <v>1378127</v>
      </c>
      <c r="D41" s="19">
        <v>2321752</v>
      </c>
      <c r="E41" s="20">
        <f>E33+E34+E35+E37+E39</f>
        <v>2433440.8798766532</v>
      </c>
      <c r="F41" s="20">
        <f t="shared" ref="F41:G41" si="23">F33+F34+F35+F37+F39</f>
        <v>2908633.095937266</v>
      </c>
      <c r="G41" s="20">
        <f t="shared" si="23"/>
        <v>5012040.1851887731</v>
      </c>
    </row>
    <row r="42" spans="1:7" s="6" customFormat="1" ht="15.75" x14ac:dyDescent="0.25">
      <c r="A42" s="3" t="s">
        <v>129</v>
      </c>
      <c r="B42" s="5">
        <f>B41/B18</f>
        <v>0.13532379824685911</v>
      </c>
      <c r="C42" s="5">
        <f t="shared" ref="C42:G42" si="24">C41/C18</f>
        <v>0.11217390660258421</v>
      </c>
      <c r="D42" s="5">
        <f t="shared" si="24"/>
        <v>0.11398763431001517</v>
      </c>
      <c r="E42" s="5">
        <f t="shared" si="24"/>
        <v>9.2169455883191906E-2</v>
      </c>
      <c r="F42" s="5">
        <f t="shared" si="24"/>
        <v>8.4357954329934134E-2</v>
      </c>
      <c r="G42" s="5">
        <f t="shared" si="24"/>
        <v>0.10705871920768038</v>
      </c>
    </row>
    <row r="43" spans="1:7" s="1" customFormat="1" ht="15.75" x14ac:dyDescent="0.25">
      <c r="A43" s="18" t="s">
        <v>33</v>
      </c>
      <c r="B43" s="19">
        <v>9447843</v>
      </c>
      <c r="C43" s="19">
        <v>12285629</v>
      </c>
      <c r="D43" s="19">
        <v>20368455</v>
      </c>
      <c r="E43" s="20">
        <f>E31+E41</f>
        <v>26401814.950979479</v>
      </c>
      <c r="F43" s="20">
        <f t="shared" ref="F43:G43" si="25">F31+F41</f>
        <v>34479654.052194186</v>
      </c>
      <c r="G43" s="20">
        <f t="shared" si="25"/>
        <v>46815805.629704319</v>
      </c>
    </row>
    <row r="44" spans="1:7" ht="15.75" x14ac:dyDescent="0.25">
      <c r="A44" s="26" t="s">
        <v>10</v>
      </c>
      <c r="B44" s="28">
        <v>1628</v>
      </c>
      <c r="C44" s="28">
        <v>813</v>
      </c>
      <c r="D44" s="28">
        <v>1144</v>
      </c>
    </row>
    <row r="45" spans="1:7" ht="15.75" x14ac:dyDescent="0.25">
      <c r="A45" s="26" t="s">
        <v>34</v>
      </c>
      <c r="B45" s="27">
        <v>31396.49</v>
      </c>
      <c r="C45" s="27">
        <v>31396.49</v>
      </c>
      <c r="D45" s="27">
        <v>31396.49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" sqref="D1"/>
    </sheetView>
  </sheetViews>
  <sheetFormatPr defaultRowHeight="15" x14ac:dyDescent="0.25"/>
  <cols>
    <col min="1" max="1" width="53.7109375" bestFit="1" customWidth="1"/>
    <col min="2" max="2" width="14.42578125" customWidth="1"/>
    <col min="3" max="3" width="13.7109375" customWidth="1"/>
    <col min="4" max="4" width="14.5703125" customWidth="1"/>
    <col min="5" max="5" width="15.28515625" customWidth="1"/>
    <col min="6" max="7" width="13.28515625" bestFit="1" customWidth="1"/>
  </cols>
  <sheetData>
    <row r="1" spans="1:8" s="11" customFormat="1" ht="25.5" customHeight="1" x14ac:dyDescent="0.25">
      <c r="A1" s="9" t="s">
        <v>133</v>
      </c>
      <c r="B1" s="10">
        <v>44560</v>
      </c>
      <c r="C1" s="10">
        <v>44925</v>
      </c>
      <c r="D1" s="10">
        <v>45290</v>
      </c>
      <c r="E1" s="92">
        <v>45656</v>
      </c>
      <c r="F1" s="92">
        <v>46021</v>
      </c>
      <c r="G1" s="92">
        <v>46386</v>
      </c>
    </row>
    <row r="2" spans="1:8" ht="15.75" x14ac:dyDescent="0.25">
      <c r="A2" s="15" t="s">
        <v>35</v>
      </c>
      <c r="B2" s="16">
        <v>280374</v>
      </c>
      <c r="C2" s="16">
        <v>284650</v>
      </c>
      <c r="D2" s="16">
        <v>795962</v>
      </c>
      <c r="E2" s="17">
        <v>981282.20350537868</v>
      </c>
      <c r="F2" s="17">
        <v>1145495.9070107574</v>
      </c>
      <c r="G2" s="17">
        <v>1288603.1105161358</v>
      </c>
      <c r="H2" s="13"/>
    </row>
    <row r="3" spans="1:8" ht="15.75" x14ac:dyDescent="0.25">
      <c r="A3" s="15" t="s">
        <v>36</v>
      </c>
      <c r="B3" s="16">
        <v>25305</v>
      </c>
      <c r="C3" s="16">
        <v>26630</v>
      </c>
      <c r="D3" s="16">
        <v>29857</v>
      </c>
      <c r="E3" s="17">
        <f>E4*('P$L'!E3+'P$L'!E11)</f>
        <v>77591.236291137204</v>
      </c>
      <c r="F3" s="17">
        <f>F4*('P$L'!F3+'P$L'!F11)</f>
        <v>95166.217998506036</v>
      </c>
      <c r="G3" s="17">
        <f>G4*('P$L'!G3+'P$L'!G11)</f>
        <v>112741.19970587487</v>
      </c>
      <c r="H3" s="13"/>
    </row>
    <row r="4" spans="1:8" s="25" customFormat="1" ht="15.75" x14ac:dyDescent="0.25">
      <c r="A4" s="78" t="s">
        <v>130</v>
      </c>
      <c r="B4" s="5">
        <f>B3/('P$L'!B3+'P$L'!B11)</f>
        <v>3.328943854576262E-2</v>
      </c>
      <c r="C4" s="5">
        <f>C3/('P$L'!C3+'P$L'!C11)</f>
        <v>2.8255961020991961E-2</v>
      </c>
      <c r="D4" s="5">
        <f>D3/('P$L'!D3+'P$L'!D11)</f>
        <v>1.4056829004986298E-2</v>
      </c>
      <c r="E4" s="7">
        <v>2.8255961020991961E-2</v>
      </c>
      <c r="F4" s="7">
        <v>2.8255961020991961E-2</v>
      </c>
      <c r="G4" s="7">
        <v>2.8255961020991961E-2</v>
      </c>
    </row>
    <row r="5" spans="1:8" ht="15.75" x14ac:dyDescent="0.25">
      <c r="A5" s="15" t="s">
        <v>37</v>
      </c>
      <c r="B5" s="16">
        <v>3779</v>
      </c>
      <c r="C5" s="16">
        <v>3679</v>
      </c>
      <c r="D5" s="16">
        <v>3469</v>
      </c>
      <c r="E5" s="16">
        <v>3500</v>
      </c>
      <c r="F5" s="16">
        <v>3500</v>
      </c>
      <c r="G5" s="16">
        <v>3500</v>
      </c>
      <c r="H5" s="13"/>
    </row>
    <row r="6" spans="1:8" ht="15.75" x14ac:dyDescent="0.25">
      <c r="A6" s="15" t="s">
        <v>38</v>
      </c>
      <c r="B6" s="16">
        <v>-441534</v>
      </c>
      <c r="C6" s="16">
        <v>-486660</v>
      </c>
      <c r="D6" s="16">
        <v>-989833</v>
      </c>
      <c r="E6" s="17">
        <f>E7*('P$L'!E3+'P$L'!E11)</f>
        <v>-1373006.5</v>
      </c>
      <c r="F6" s="17">
        <f>F7*('P$L'!F3+'P$L'!F11)</f>
        <v>-1684002.5</v>
      </c>
      <c r="G6" s="17">
        <f>G7*('P$L'!G3+'P$L'!G11)</f>
        <v>-1994998.5</v>
      </c>
      <c r="H6" s="13"/>
    </row>
    <row r="7" spans="1:8" s="25" customFormat="1" ht="15.75" x14ac:dyDescent="0.25">
      <c r="A7" s="78" t="s">
        <v>130</v>
      </c>
      <c r="B7" s="5">
        <f>B6/('P$L'!B3+'P$L'!B11)</f>
        <v>-0.58085038367377007</v>
      </c>
      <c r="C7" s="5">
        <f>C6/('P$L'!C3+'P$L'!C11)</f>
        <v>-0.51637423922177794</v>
      </c>
      <c r="D7" s="5">
        <f>D6/('P$L'!D3+'P$L'!D11)</f>
        <v>-0.46601846215268117</v>
      </c>
      <c r="E7" s="12">
        <v>-0.5</v>
      </c>
      <c r="F7" s="7">
        <v>-0.5</v>
      </c>
      <c r="G7" s="7">
        <v>-0.5</v>
      </c>
    </row>
    <row r="8" spans="1:8" ht="15.75" x14ac:dyDescent="0.25">
      <c r="A8" s="15" t="s">
        <v>39</v>
      </c>
      <c r="B8" s="16">
        <v>518261</v>
      </c>
      <c r="C8" s="16">
        <v>1350823</v>
      </c>
      <c r="D8" s="16">
        <v>1947090</v>
      </c>
      <c r="E8" s="17">
        <f>D8*(1+E9)</f>
        <v>2336508</v>
      </c>
      <c r="F8" s="17">
        <f t="shared" ref="F8:G8" si="0">E8*(1+F9)</f>
        <v>2803809.6</v>
      </c>
      <c r="G8" s="17">
        <f t="shared" si="0"/>
        <v>3364571.52</v>
      </c>
      <c r="H8" s="13"/>
    </row>
    <row r="9" spans="1:8" s="25" customFormat="1" ht="15.75" x14ac:dyDescent="0.25">
      <c r="A9" s="78" t="s">
        <v>130</v>
      </c>
      <c r="B9" s="5">
        <f>B8/('P$L'!B3+'P$L'!B11)</f>
        <v>0.68178690812746412</v>
      </c>
      <c r="C9" s="5">
        <f>C8/('P$L'!C3+'P$L'!C11)</f>
        <v>1.4333008649740677</v>
      </c>
      <c r="D9" s="5">
        <f>D8/('P$L'!D3+'P$L'!D11)</f>
        <v>0.91669997613017951</v>
      </c>
      <c r="E9" s="12">
        <v>0.2</v>
      </c>
      <c r="F9" s="7">
        <v>0.2</v>
      </c>
      <c r="G9" s="7">
        <v>0.2</v>
      </c>
    </row>
    <row r="10" spans="1:8" s="1" customFormat="1" ht="15.75" x14ac:dyDescent="0.25">
      <c r="A10" s="18" t="s">
        <v>40</v>
      </c>
      <c r="B10" s="19">
        <v>386185</v>
      </c>
      <c r="C10" s="19">
        <v>1179122</v>
      </c>
      <c r="D10" s="19">
        <v>1786545</v>
      </c>
      <c r="E10" s="20">
        <f>E2+E3+E5+E6+E8</f>
        <v>2025874.939796516</v>
      </c>
      <c r="F10" s="20">
        <f t="shared" ref="F10:G10" si="1">F2+F3+F5+F6+F8</f>
        <v>2363969.2250092635</v>
      </c>
      <c r="G10" s="20">
        <f t="shared" si="1"/>
        <v>2774417.3302220106</v>
      </c>
      <c r="H10" s="14"/>
    </row>
    <row r="11" spans="1:8" ht="15.75" x14ac:dyDescent="0.25">
      <c r="A11" s="15" t="s">
        <v>41</v>
      </c>
      <c r="B11" s="16">
        <v>-49233</v>
      </c>
      <c r="C11" s="16">
        <v>-73656</v>
      </c>
      <c r="D11" s="16">
        <v>-75175</v>
      </c>
      <c r="E11" s="21">
        <f>E12*('P$L'!E3+'P$L'!E11)</f>
        <v>-97189.023684323285</v>
      </c>
      <c r="F11" s="21">
        <f>F12*('P$L'!F3+'P$L'!F11)</f>
        <v>-119203.04736864656</v>
      </c>
      <c r="G11" s="21">
        <f>G12*('P$L'!G3+'P$L'!G11)</f>
        <v>-141217.07105296984</v>
      </c>
      <c r="H11" s="13"/>
    </row>
    <row r="12" spans="1:8" s="25" customFormat="1" ht="15.75" x14ac:dyDescent="0.25">
      <c r="A12" s="78" t="s">
        <v>130</v>
      </c>
      <c r="B12" s="5">
        <f>B11/('P$L'!B3+'P$L'!B11)</f>
        <v>-6.4767394899171354E-2</v>
      </c>
      <c r="C12" s="5">
        <f>C11/('P$L'!C3+'P$L'!C11)</f>
        <v>-7.815325065573353E-2</v>
      </c>
      <c r="D12" s="5">
        <f>D11/('P$L'!D3+'P$L'!D11)</f>
        <v>-3.5392776248445758E-2</v>
      </c>
      <c r="E12" s="7">
        <v>-3.5392776248445758E-2</v>
      </c>
      <c r="F12" s="7">
        <v>-3.5392776248445758E-2</v>
      </c>
      <c r="G12" s="7">
        <v>-3.5392776248445758E-2</v>
      </c>
    </row>
    <row r="13" spans="1:8" ht="15.75" x14ac:dyDescent="0.25">
      <c r="A13" s="15" t="s">
        <v>42</v>
      </c>
      <c r="B13" s="16">
        <v>-190651</v>
      </c>
      <c r="C13" s="16">
        <v>-289576</v>
      </c>
      <c r="D13" s="16">
        <v>-1320262</v>
      </c>
      <c r="E13" s="17">
        <f>E14*('P$L'!E3+'P$L'!E11)</f>
        <v>-2118785.5520952712</v>
      </c>
      <c r="F13" s="17">
        <f>F14*('P$L'!F3+'P$L'!F11)</f>
        <v>-3103906.7041905425</v>
      </c>
      <c r="G13" s="17">
        <f>G14*('P$L'!G3+'P$L'!G11)</f>
        <v>-4275625.4562858138</v>
      </c>
      <c r="H13" s="13"/>
    </row>
    <row r="14" spans="1:8" s="25" customFormat="1" ht="15.75" x14ac:dyDescent="0.25">
      <c r="A14" s="78" t="s">
        <v>130</v>
      </c>
      <c r="B14" s="5">
        <f>B13/('P$L'!B3+'P$L'!B11)</f>
        <v>-0.2508067476067255</v>
      </c>
      <c r="C14" s="5">
        <f>C13/('P$L'!C3+'P$L'!C11)</f>
        <v>-0.30725678440160603</v>
      </c>
      <c r="D14" s="5">
        <f>D13/('P$L'!D3+'P$L'!D11)</f>
        <v>-0.62158613309378763</v>
      </c>
      <c r="E14" s="7">
        <f>D14-15%</f>
        <v>-0.77158613309378765</v>
      </c>
      <c r="F14" s="7">
        <f t="shared" ref="F14:G14" si="2">E14-15%</f>
        <v>-0.92158613309378767</v>
      </c>
      <c r="G14" s="7">
        <f t="shared" si="2"/>
        <v>-1.0715861330937877</v>
      </c>
    </row>
    <row r="15" spans="1:8" s="1" customFormat="1" ht="15.75" x14ac:dyDescent="0.25">
      <c r="A15" s="18" t="s">
        <v>43</v>
      </c>
      <c r="B15" s="19">
        <v>-239884</v>
      </c>
      <c r="C15" s="19">
        <v>-363232</v>
      </c>
      <c r="D15" s="19">
        <v>-1395437</v>
      </c>
      <c r="E15" s="20">
        <f>E11+E13</f>
        <v>-2215974.5757795945</v>
      </c>
      <c r="F15" s="20">
        <f t="shared" ref="F15:G15" si="3">F11+F13</f>
        <v>-3223109.7515591891</v>
      </c>
      <c r="G15" s="20">
        <f t="shared" si="3"/>
        <v>-4416842.5273387833</v>
      </c>
      <c r="H15" s="14"/>
    </row>
    <row r="16" spans="1:8" ht="15.75" x14ac:dyDescent="0.25">
      <c r="A16" s="15" t="s">
        <v>44</v>
      </c>
      <c r="B16" s="16">
        <v>612</v>
      </c>
      <c r="C16" s="16">
        <v>1117</v>
      </c>
      <c r="D16" s="16">
        <v>352</v>
      </c>
      <c r="E16" s="16">
        <f>E17*('P$L'!E3+'P$L'!E11)</f>
        <v>3254.5779548329047</v>
      </c>
      <c r="F16" s="16">
        <f>F17*('P$L'!F3+'P$L'!F11)</f>
        <v>3991.7636314056044</v>
      </c>
      <c r="G16" s="16">
        <f>G17*('P$L'!G3+'P$L'!G11)</f>
        <v>4728.9493079783033</v>
      </c>
      <c r="H16" s="13"/>
    </row>
    <row r="17" spans="1:8" s="25" customFormat="1" ht="15.75" x14ac:dyDescent="0.25">
      <c r="A17" s="78" t="s">
        <v>130</v>
      </c>
      <c r="B17" s="5">
        <f>B16/('P$L'!B3+'P$L'!B11)</f>
        <v>8.0510319660172778E-4</v>
      </c>
      <c r="C17" s="5">
        <f>C16/('P$L'!C3+'P$L'!C11)</f>
        <v>1.1852012189428472E-3</v>
      </c>
      <c r="D17" s="5">
        <f>D16/('P$L'!D3+'P$L'!D11)</f>
        <v>1.6572340857270244E-4</v>
      </c>
      <c r="E17" s="7">
        <v>1.1852012189428472E-3</v>
      </c>
      <c r="F17" s="7">
        <v>1.1852012189428472E-3</v>
      </c>
      <c r="G17" s="7">
        <v>1.1852012189428472E-3</v>
      </c>
    </row>
    <row r="18" spans="1:8" ht="15.75" x14ac:dyDescent="0.25">
      <c r="A18" s="15" t="s">
        <v>45</v>
      </c>
      <c r="B18" s="16">
        <v>-94226</v>
      </c>
      <c r="C18" s="16">
        <v>-97371</v>
      </c>
      <c r="D18" s="16">
        <v>-106748</v>
      </c>
      <c r="E18" s="17">
        <f>E19*'P$L'!E21</f>
        <v>-130119.53293370365</v>
      </c>
      <c r="F18" s="17">
        <f>F19*'P$L'!F21</f>
        <v>-150087.17762196259</v>
      </c>
      <c r="G18" s="17">
        <f>G19*'P$L'!G21</f>
        <v>-166804.48325171857</v>
      </c>
      <c r="H18" s="13"/>
    </row>
    <row r="19" spans="1:8" s="25" customFormat="1" ht="15.75" x14ac:dyDescent="0.25">
      <c r="A19" s="78" t="s">
        <v>122</v>
      </c>
      <c r="B19" s="5">
        <f>B18/('P$L'!B21)</f>
        <v>-0.38553694323287041</v>
      </c>
      <c r="C19" s="5">
        <f>C18/('P$L'!C21)</f>
        <v>-0.4345949564829279</v>
      </c>
      <c r="D19" s="5">
        <f>D18/('P$L'!D21)</f>
        <v>-0.157778437971589</v>
      </c>
      <c r="E19" s="7">
        <v>-0.157778437971589</v>
      </c>
      <c r="F19" s="7">
        <v>-0.157778437971589</v>
      </c>
      <c r="G19" s="7">
        <v>-0.157778437971589</v>
      </c>
    </row>
    <row r="20" spans="1:8" ht="15.75" x14ac:dyDescent="0.25">
      <c r="A20" s="15" t="s">
        <v>46</v>
      </c>
      <c r="B20" s="16">
        <v>-169034</v>
      </c>
      <c r="C20" s="16">
        <v>-1352</v>
      </c>
      <c r="D20" s="16">
        <v>-470414</v>
      </c>
      <c r="E20" s="17">
        <f>E21*'P$L'!E21</f>
        <v>-573406.99559219158</v>
      </c>
      <c r="F20" s="17">
        <f>F21*'P$L'!F21</f>
        <v>-661399.83488082129</v>
      </c>
      <c r="G20" s="17">
        <f>G21*'P$L'!G21</f>
        <v>-735069.17398334341</v>
      </c>
      <c r="H20" s="13"/>
    </row>
    <row r="21" spans="1:8" s="25" customFormat="1" ht="15.75" x14ac:dyDescent="0.25">
      <c r="A21" s="78" t="s">
        <v>122</v>
      </c>
      <c r="B21" s="5">
        <f>B20/'P$L'!B21</f>
        <v>-0.69162281814387772</v>
      </c>
      <c r="C21" s="5">
        <f>C20/'P$L'!C21</f>
        <v>-6.0343673287212678E-3</v>
      </c>
      <c r="D21" s="5">
        <f>D20/'P$L'!D21</f>
        <v>-0.69529345861249925</v>
      </c>
      <c r="E21" s="7">
        <v>-0.69529345861249925</v>
      </c>
      <c r="F21" s="7">
        <v>-0.69529345861249925</v>
      </c>
      <c r="G21" s="7">
        <v>-0.69529345861249925</v>
      </c>
    </row>
    <row r="22" spans="1:8" s="1" customFormat="1" ht="15.75" x14ac:dyDescent="0.25">
      <c r="A22" s="18" t="s">
        <v>47</v>
      </c>
      <c r="B22" s="19">
        <v>-262648</v>
      </c>
      <c r="C22" s="19">
        <v>-97606</v>
      </c>
      <c r="D22" s="19">
        <v>-576810</v>
      </c>
      <c r="E22" s="20">
        <f>E16+E18+E20</f>
        <v>-700271.95057106228</v>
      </c>
      <c r="F22" s="20">
        <f t="shared" ref="F22:G22" si="4">F16+F18+F20</f>
        <v>-807495.24887137825</v>
      </c>
      <c r="G22" s="20">
        <f t="shared" si="4"/>
        <v>-897144.70792708371</v>
      </c>
      <c r="H22" s="14"/>
    </row>
    <row r="23" spans="1:8" ht="15.75" x14ac:dyDescent="0.25">
      <c r="A23" s="15" t="s">
        <v>52</v>
      </c>
      <c r="B23" s="16">
        <f>B10+B15+B22</f>
        <v>-116347</v>
      </c>
      <c r="C23" s="16">
        <f>C10+C15+C22</f>
        <v>718284</v>
      </c>
      <c r="D23" s="16">
        <f>D10+D15+D22</f>
        <v>-185702</v>
      </c>
      <c r="E23" s="21">
        <f>E10+E15+E22</f>
        <v>-890371.58655414078</v>
      </c>
      <c r="F23" s="21">
        <f t="shared" ref="F23:G23" si="5">F10+F15+F22</f>
        <v>-1666635.7754213037</v>
      </c>
      <c r="G23" s="21">
        <f t="shared" si="5"/>
        <v>-2539569.9050438562</v>
      </c>
      <c r="H23" s="13"/>
    </row>
    <row r="24" spans="1:8" ht="15.75" x14ac:dyDescent="0.25">
      <c r="A24" s="15" t="s">
        <v>48</v>
      </c>
      <c r="B24" s="16">
        <v>42346</v>
      </c>
      <c r="C24" s="16">
        <v>87955</v>
      </c>
      <c r="D24" s="16">
        <v>549455</v>
      </c>
      <c r="E24" s="16">
        <v>549455</v>
      </c>
      <c r="F24" s="16">
        <v>549455</v>
      </c>
      <c r="G24" s="16">
        <v>549455</v>
      </c>
      <c r="H24" s="13"/>
    </row>
    <row r="25" spans="1:8" ht="15.75" x14ac:dyDescent="0.25">
      <c r="A25" s="15" t="s">
        <v>49</v>
      </c>
      <c r="B25" s="16">
        <v>-74001</v>
      </c>
      <c r="C25" s="16">
        <v>806239</v>
      </c>
      <c r="D25" s="16">
        <v>363753</v>
      </c>
      <c r="E25" s="21">
        <f>E23+E24</f>
        <v>-340916.58655414078</v>
      </c>
      <c r="F25" s="21">
        <f t="shared" ref="F25:G25" si="6">F23+F24</f>
        <v>-1117180.7754213037</v>
      </c>
      <c r="G25" s="21">
        <f t="shared" si="6"/>
        <v>-1990114.9050438562</v>
      </c>
      <c r="H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6" workbookViewId="0">
      <selection activeCell="E44" sqref="E44"/>
    </sheetView>
  </sheetViews>
  <sheetFormatPr defaultRowHeight="15" x14ac:dyDescent="0.25"/>
  <cols>
    <col min="1" max="1" width="56" customWidth="1"/>
    <col min="2" max="2" width="17.5703125" customWidth="1"/>
    <col min="3" max="3" width="18.85546875" customWidth="1"/>
    <col min="4" max="4" width="12.7109375" customWidth="1"/>
    <col min="5" max="5" width="14.28515625" bestFit="1" customWidth="1"/>
  </cols>
  <sheetData>
    <row r="1" spans="1:7" s="11" customFormat="1" ht="18" customHeight="1" x14ac:dyDescent="0.25">
      <c r="A1" s="9" t="s">
        <v>96</v>
      </c>
      <c r="B1" s="10"/>
      <c r="C1" s="10"/>
      <c r="D1" s="10"/>
      <c r="E1" s="10"/>
      <c r="F1" s="10"/>
      <c r="G1" s="10"/>
    </row>
    <row r="2" spans="1:7" ht="15.75" x14ac:dyDescent="0.25">
      <c r="A2" s="34" t="s">
        <v>53</v>
      </c>
      <c r="B2" s="34"/>
      <c r="C2" s="34"/>
      <c r="D2" s="34"/>
      <c r="E2" s="34"/>
    </row>
    <row r="3" spans="1:7" ht="15.75" x14ac:dyDescent="0.25">
      <c r="A3" s="34"/>
      <c r="B3" s="34"/>
      <c r="C3" s="34"/>
      <c r="D3" s="34"/>
      <c r="E3" s="34"/>
    </row>
    <row r="4" spans="1:7" ht="15.75" x14ac:dyDescent="0.25">
      <c r="A4" s="30" t="s">
        <v>157</v>
      </c>
      <c r="B4" s="31"/>
      <c r="C4" s="31"/>
      <c r="D4" s="31"/>
      <c r="E4" s="31"/>
    </row>
    <row r="5" spans="1:7" s="11" customFormat="1" ht="18" customHeight="1" x14ac:dyDescent="0.25">
      <c r="A5" s="9" t="s">
        <v>54</v>
      </c>
      <c r="B5" s="67">
        <v>45290</v>
      </c>
      <c r="C5" s="93">
        <v>45656</v>
      </c>
      <c r="D5" s="93">
        <v>46021</v>
      </c>
      <c r="E5" s="93">
        <v>46386</v>
      </c>
      <c r="F5" s="10"/>
      <c r="G5" s="10"/>
    </row>
    <row r="6" spans="1:7" ht="15.75" x14ac:dyDescent="0.25">
      <c r="A6" s="32" t="s">
        <v>58</v>
      </c>
      <c r="B6" s="35"/>
      <c r="C6" s="36">
        <f>'P$L'!E3+'P$L'!E11</f>
        <v>2746013</v>
      </c>
      <c r="D6" s="36">
        <f>'P$L'!F3+'P$L'!F11</f>
        <v>3368005</v>
      </c>
      <c r="E6" s="36">
        <f>'P$L'!G3+'P$L'!G11</f>
        <v>3989997</v>
      </c>
    </row>
    <row r="7" spans="1:7" ht="15.75" x14ac:dyDescent="0.25">
      <c r="A7" s="32" t="s">
        <v>160</v>
      </c>
      <c r="B7" s="35"/>
      <c r="C7" s="36">
        <f>'P$L'!E5+'P$L'!E8+'P$L'!E13</f>
        <v>1764730.7964946213</v>
      </c>
      <c r="D7" s="36">
        <f>'P$L'!F5+'P$L'!F8+'P$L'!F13</f>
        <v>2222509.0929892426</v>
      </c>
      <c r="E7" s="36">
        <f>'P$L'!G5+'P$L'!G8+'P$L'!G13</f>
        <v>2701393.8894838644</v>
      </c>
    </row>
    <row r="8" spans="1:7" ht="15.75" x14ac:dyDescent="0.25">
      <c r="A8" s="37" t="s">
        <v>59</v>
      </c>
      <c r="B8" s="38"/>
      <c r="C8" s="39">
        <f>Cashflow!E3+Cashflow!E5</f>
        <v>81091.236291137204</v>
      </c>
      <c r="D8" s="39">
        <f>Cashflow!F3+Cashflow!F5</f>
        <v>98666.217998506036</v>
      </c>
      <c r="E8" s="39">
        <f>Cashflow!G3+Cashflow!G5</f>
        <v>116241.19970587487</v>
      </c>
    </row>
    <row r="9" spans="1:7" ht="15.75" x14ac:dyDescent="0.25">
      <c r="A9" s="40" t="s">
        <v>60</v>
      </c>
      <c r="B9" s="41"/>
      <c r="C9" s="42">
        <f>C6-C7-C8</f>
        <v>900190.96721424151</v>
      </c>
      <c r="D9" s="42">
        <f t="shared" ref="D9:E9" si="0">D6-D7-D8</f>
        <v>1046829.6890122513</v>
      </c>
      <c r="E9" s="42">
        <f t="shared" si="0"/>
        <v>1172361.9108102608</v>
      </c>
    </row>
    <row r="10" spans="1:7" ht="15.75" x14ac:dyDescent="0.25">
      <c r="A10" s="37" t="s">
        <v>61</v>
      </c>
      <c r="B10" s="38"/>
      <c r="C10" s="39">
        <f>'P$L'!E17</f>
        <v>156584.38923791755</v>
      </c>
      <c r="D10" s="39">
        <f>'P$L'!F17</f>
        <v>194243.12778759995</v>
      </c>
      <c r="E10" s="39">
        <f>'P$L'!G17</f>
        <v>231396.02064904716</v>
      </c>
    </row>
    <row r="11" spans="1:7" ht="15.75" x14ac:dyDescent="0.25">
      <c r="A11" s="40" t="s">
        <v>62</v>
      </c>
      <c r="B11" s="41"/>
      <c r="C11" s="42">
        <f>C9-C10</f>
        <v>743606.5779763239</v>
      </c>
      <c r="D11" s="42">
        <f t="shared" ref="D11:E11" si="1">D9-D10</f>
        <v>852586.56122465141</v>
      </c>
      <c r="E11" s="42">
        <f t="shared" si="1"/>
        <v>940965.8901612137</v>
      </c>
    </row>
    <row r="12" spans="1:7" ht="15.75" x14ac:dyDescent="0.25">
      <c r="A12" s="37" t="s">
        <v>63</v>
      </c>
      <c r="B12" s="38"/>
      <c r="C12" s="39">
        <f>C8</f>
        <v>81091.236291137204</v>
      </c>
      <c r="D12" s="39">
        <f t="shared" ref="D12:E12" si="2">D8</f>
        <v>98666.217998506036</v>
      </c>
      <c r="E12" s="39">
        <f t="shared" si="2"/>
        <v>116241.19970587487</v>
      </c>
    </row>
    <row r="13" spans="1:7" ht="16.5" thickBot="1" x14ac:dyDescent="0.3">
      <c r="A13" s="43" t="s">
        <v>64</v>
      </c>
      <c r="B13" s="44"/>
      <c r="C13" s="45">
        <f>C11+C12</f>
        <v>824697.81426746107</v>
      </c>
      <c r="D13" s="45">
        <f t="shared" ref="D13:E13" si="3">D11+D12</f>
        <v>951252.77922315744</v>
      </c>
      <c r="E13" s="45">
        <f t="shared" si="3"/>
        <v>1057207.0898670885</v>
      </c>
    </row>
    <row r="14" spans="1:7" ht="16.5" thickTop="1" x14ac:dyDescent="0.25">
      <c r="A14" s="34"/>
      <c r="B14" s="34"/>
      <c r="C14" s="46"/>
      <c r="D14" s="46"/>
      <c r="E14" s="46"/>
    </row>
    <row r="15" spans="1:7" s="11" customFormat="1" ht="18" customHeight="1" x14ac:dyDescent="0.25">
      <c r="A15" s="9" t="s">
        <v>65</v>
      </c>
      <c r="B15" s="10"/>
      <c r="C15" s="10"/>
      <c r="D15" s="10"/>
      <c r="E15" s="10"/>
      <c r="F15" s="10"/>
      <c r="G15" s="10"/>
    </row>
    <row r="16" spans="1:7" ht="15.75" x14ac:dyDescent="0.25">
      <c r="A16" s="32" t="s">
        <v>66</v>
      </c>
      <c r="B16" s="35"/>
      <c r="C16" s="36">
        <f>Cashflow!E11</f>
        <v>-97189.023684323285</v>
      </c>
      <c r="D16" s="36">
        <f>Cashflow!F11</f>
        <v>-119203.04736864656</v>
      </c>
      <c r="E16" s="36">
        <f>Cashflow!G11</f>
        <v>-141217.07105296984</v>
      </c>
    </row>
    <row r="17" spans="1:9" ht="15.75" x14ac:dyDescent="0.25">
      <c r="A17" s="47" t="s">
        <v>67</v>
      </c>
      <c r="B17" s="36">
        <f>Cashflow!D8</f>
        <v>1947090</v>
      </c>
      <c r="C17" s="36">
        <f>Cashflow!E8</f>
        <v>2336508</v>
      </c>
      <c r="D17" s="36">
        <f>Cashflow!F8</f>
        <v>2803809.6</v>
      </c>
      <c r="E17" s="36">
        <f>Cashflow!G8</f>
        <v>3364571.52</v>
      </c>
    </row>
    <row r="18" spans="1:9" ht="15.75" x14ac:dyDescent="0.25">
      <c r="A18" s="37" t="s">
        <v>68</v>
      </c>
      <c r="B18" s="48"/>
      <c r="C18" s="39">
        <f>C17-B17</f>
        <v>389418</v>
      </c>
      <c r="D18" s="39">
        <f t="shared" ref="D18:E18" si="4">D17-C17</f>
        <v>467301.60000000009</v>
      </c>
      <c r="E18" s="39">
        <f t="shared" si="4"/>
        <v>560761.91999999993</v>
      </c>
    </row>
    <row r="19" spans="1:9" ht="16.5" thickBot="1" x14ac:dyDescent="0.3">
      <c r="A19" s="43" t="s">
        <v>65</v>
      </c>
      <c r="B19" s="49"/>
      <c r="C19" s="45">
        <f>C16+C18</f>
        <v>292228.9763156767</v>
      </c>
      <c r="D19" s="45">
        <f t="shared" ref="D19:E19" si="5">D16+D18</f>
        <v>348098.55263135355</v>
      </c>
      <c r="E19" s="45">
        <f t="shared" si="5"/>
        <v>419544.84894703008</v>
      </c>
    </row>
    <row r="20" spans="1:9" ht="16.5" thickTop="1" x14ac:dyDescent="0.25">
      <c r="A20" s="34"/>
      <c r="B20" s="34"/>
      <c r="C20" s="34"/>
      <c r="D20" s="34"/>
      <c r="E20" s="34"/>
    </row>
    <row r="21" spans="1:9" s="11" customFormat="1" ht="18" customHeight="1" x14ac:dyDescent="0.25">
      <c r="A21" s="9" t="s">
        <v>69</v>
      </c>
      <c r="B21" s="67">
        <v>45290</v>
      </c>
      <c r="C21" s="93">
        <v>45656</v>
      </c>
      <c r="D21" s="93">
        <v>46021</v>
      </c>
      <c r="E21" s="93">
        <v>46386</v>
      </c>
      <c r="F21" s="10"/>
      <c r="G21" s="10"/>
    </row>
    <row r="22" spans="1:9" ht="16.5" thickBot="1" x14ac:dyDescent="0.3">
      <c r="A22" s="43" t="s">
        <v>70</v>
      </c>
      <c r="B22" s="50"/>
      <c r="C22" s="45">
        <f>C13-C19</f>
        <v>532468.83795178437</v>
      </c>
      <c r="D22" s="45">
        <f t="shared" ref="D22:E22" si="6">D13-D19</f>
        <v>603154.22659180383</v>
      </c>
      <c r="E22" s="45">
        <f t="shared" si="6"/>
        <v>637662.24092005845</v>
      </c>
    </row>
    <row r="23" spans="1:9" ht="16.5" thickTop="1" x14ac:dyDescent="0.25">
      <c r="A23" s="34"/>
      <c r="B23" s="34" t="s">
        <v>131</v>
      </c>
      <c r="C23" s="34"/>
      <c r="D23" s="34"/>
      <c r="E23" s="34"/>
    </row>
    <row r="24" spans="1:9" s="11" customFormat="1" ht="18" customHeight="1" x14ac:dyDescent="0.25">
      <c r="A24" s="9" t="s">
        <v>71</v>
      </c>
      <c r="B24" s="67" t="s">
        <v>72</v>
      </c>
      <c r="C24" s="10"/>
      <c r="D24" s="10"/>
      <c r="E24" s="10"/>
      <c r="F24" s="10"/>
      <c r="G24" s="10"/>
    </row>
    <row r="25" spans="1:9" ht="15.75" x14ac:dyDescent="0.25">
      <c r="A25" s="32" t="s">
        <v>73</v>
      </c>
      <c r="B25" s="51">
        <v>0.14960000000000001</v>
      </c>
      <c r="C25" s="34" t="s">
        <v>102</v>
      </c>
      <c r="D25" s="34"/>
      <c r="E25" s="34"/>
      <c r="F25" s="23"/>
      <c r="G25" s="23"/>
      <c r="H25" s="23"/>
      <c r="I25" s="23"/>
    </row>
    <row r="26" spans="1:9" ht="15.75" x14ac:dyDescent="0.25">
      <c r="A26" s="32" t="s">
        <v>74</v>
      </c>
      <c r="B26" s="51">
        <v>0.02</v>
      </c>
      <c r="C26" s="34" t="s">
        <v>75</v>
      </c>
      <c r="D26" s="34"/>
      <c r="E26" s="34"/>
      <c r="F26" s="23"/>
      <c r="G26" s="23"/>
      <c r="H26" s="23"/>
      <c r="I26" s="23"/>
    </row>
    <row r="27" spans="1:9" ht="15.75" x14ac:dyDescent="0.25">
      <c r="A27" s="32" t="s">
        <v>76</v>
      </c>
      <c r="B27" s="51">
        <v>6.3E-2</v>
      </c>
      <c r="C27" s="34" t="s">
        <v>75</v>
      </c>
      <c r="D27" s="34"/>
      <c r="E27" s="34"/>
      <c r="F27" s="23"/>
      <c r="G27" s="23"/>
      <c r="H27" s="23"/>
      <c r="I27" s="23"/>
    </row>
    <row r="28" spans="1:9" ht="15.75" x14ac:dyDescent="0.25">
      <c r="A28" s="32" t="s">
        <v>77</v>
      </c>
      <c r="B28" s="51">
        <v>0.15</v>
      </c>
      <c r="C28" s="34" t="s">
        <v>75</v>
      </c>
      <c r="D28" s="34"/>
      <c r="E28" s="34"/>
      <c r="F28" s="23"/>
      <c r="G28" s="23"/>
      <c r="H28" s="23"/>
      <c r="I28" s="23"/>
    </row>
    <row r="29" spans="1:9" ht="16.5" thickBot="1" x14ac:dyDescent="0.3">
      <c r="A29" s="43" t="s">
        <v>78</v>
      </c>
      <c r="B29" s="52">
        <f>B26*(1-B25)*B28+B27*(1-B28)</f>
        <v>5.6101200000000004E-2</v>
      </c>
      <c r="C29" s="34" t="s">
        <v>79</v>
      </c>
      <c r="D29" s="34"/>
      <c r="E29" s="34"/>
      <c r="F29" s="23"/>
      <c r="G29" s="23"/>
      <c r="H29" s="23"/>
      <c r="I29" s="23"/>
    </row>
    <row r="30" spans="1:9" ht="16.5" thickTop="1" x14ac:dyDescent="0.25">
      <c r="A30" s="34"/>
      <c r="B30" s="34"/>
      <c r="C30" s="34"/>
      <c r="D30" s="34"/>
      <c r="E30" s="34"/>
    </row>
    <row r="31" spans="1:9" s="11" customFormat="1" ht="18" customHeight="1" x14ac:dyDescent="0.25">
      <c r="A31" s="9" t="s">
        <v>80</v>
      </c>
      <c r="B31" s="67">
        <v>45290</v>
      </c>
      <c r="C31" s="93">
        <v>45656</v>
      </c>
      <c r="D31" s="93">
        <v>46021</v>
      </c>
      <c r="E31" s="93">
        <v>46386</v>
      </c>
      <c r="F31" s="10"/>
      <c r="G31" s="10"/>
    </row>
    <row r="32" spans="1:9" ht="15.75" x14ac:dyDescent="0.25">
      <c r="A32" s="32" t="s">
        <v>81</v>
      </c>
      <c r="B32" s="53"/>
      <c r="C32" s="58">
        <v>1</v>
      </c>
      <c r="D32" s="58">
        <v>2</v>
      </c>
      <c r="E32" s="58">
        <v>3</v>
      </c>
    </row>
    <row r="33" spans="1:7" ht="15.75" x14ac:dyDescent="0.25">
      <c r="A33" s="37" t="s">
        <v>82</v>
      </c>
      <c r="B33" s="54"/>
      <c r="C33" s="59">
        <f>1/(1+$B$29)^C32</f>
        <v>0.94687895440323322</v>
      </c>
      <c r="D33" s="59">
        <f t="shared" ref="D33:E33" si="7">1/(1+$B$29)^D32</f>
        <v>0.89657975429176029</v>
      </c>
      <c r="E33" s="59">
        <f t="shared" si="7"/>
        <v>0.84895250028288982</v>
      </c>
    </row>
    <row r="34" spans="1:7" ht="16.5" thickBot="1" x14ac:dyDescent="0.3">
      <c r="A34" s="43" t="s">
        <v>83</v>
      </c>
      <c r="B34" s="55"/>
      <c r="C34" s="60">
        <f>C22*C33</f>
        <v>504183.53653209022</v>
      </c>
      <c r="D34" s="60">
        <f t="shared" ref="D34:E34" si="8">D22*D33</f>
        <v>540775.86827771622</v>
      </c>
      <c r="E34" s="60">
        <f t="shared" si="8"/>
        <v>541344.95376507402</v>
      </c>
    </row>
    <row r="35" spans="1:7" ht="16.5" thickTop="1" x14ac:dyDescent="0.25">
      <c r="A35" s="34"/>
      <c r="B35" s="34"/>
      <c r="C35" s="34"/>
      <c r="D35" s="34"/>
      <c r="E35" s="34"/>
    </row>
    <row r="36" spans="1:7" s="11" customFormat="1" ht="18" customHeight="1" x14ac:dyDescent="0.25">
      <c r="A36" s="9" t="s">
        <v>84</v>
      </c>
      <c r="B36" s="67">
        <v>45290</v>
      </c>
      <c r="C36" s="93" t="s">
        <v>55</v>
      </c>
      <c r="D36" s="93" t="s">
        <v>56</v>
      </c>
      <c r="E36" s="93" t="s">
        <v>57</v>
      </c>
      <c r="F36" s="10"/>
      <c r="G36" s="10"/>
    </row>
    <row r="37" spans="1:7" ht="15.75" x14ac:dyDescent="0.25">
      <c r="A37" s="34" t="s">
        <v>85</v>
      </c>
      <c r="B37" s="34"/>
      <c r="C37" s="34"/>
      <c r="D37" s="34"/>
      <c r="E37" s="61">
        <v>0.03</v>
      </c>
    </row>
    <row r="38" spans="1:7" ht="15.75" x14ac:dyDescent="0.25">
      <c r="A38" s="34" t="s">
        <v>86</v>
      </c>
      <c r="B38" s="34"/>
      <c r="C38" s="34" t="s">
        <v>159</v>
      </c>
      <c r="D38" s="34"/>
      <c r="E38" s="56">
        <f>E22*(1+E37)/(B29-E37)</f>
        <v>25163291.655083295</v>
      </c>
    </row>
    <row r="39" spans="1:7" s="1" customFormat="1" ht="15.75" x14ac:dyDescent="0.25">
      <c r="A39" s="29" t="s">
        <v>87</v>
      </c>
      <c r="B39" s="29"/>
      <c r="C39" s="29"/>
      <c r="D39" s="29"/>
      <c r="E39" s="57">
        <f>E38*E33</f>
        <v>21362439.365930539</v>
      </c>
    </row>
    <row r="40" spans="1:7" ht="15.75" x14ac:dyDescent="0.25">
      <c r="A40" s="34"/>
      <c r="B40" s="34"/>
      <c r="C40" s="34"/>
      <c r="D40" s="34"/>
      <c r="E40" s="34"/>
    </row>
    <row r="41" spans="1:7" s="11" customFormat="1" ht="18" customHeight="1" x14ac:dyDescent="0.25">
      <c r="A41" s="9" t="s">
        <v>88</v>
      </c>
      <c r="B41" s="67">
        <v>45290</v>
      </c>
      <c r="C41" s="10"/>
      <c r="D41" s="10"/>
      <c r="E41" s="10"/>
      <c r="F41" s="10"/>
      <c r="G41" s="10"/>
    </row>
    <row r="42" spans="1:7" ht="15.75" x14ac:dyDescent="0.25">
      <c r="A42" s="68" t="s">
        <v>97</v>
      </c>
      <c r="B42" s="72">
        <f>C34+D34+E34+E39</f>
        <v>22948743.724505421</v>
      </c>
      <c r="C42" s="34"/>
      <c r="D42" s="34"/>
      <c r="E42" s="34"/>
    </row>
    <row r="43" spans="1:7" ht="15.75" x14ac:dyDescent="0.25">
      <c r="A43" s="69" t="s">
        <v>89</v>
      </c>
      <c r="B43" s="72">
        <f>'Balance Statement'!D21+'Balance Statement'!D23</f>
        <v>51080</v>
      </c>
      <c r="C43" s="34"/>
      <c r="D43" s="34"/>
      <c r="E43" s="34"/>
    </row>
    <row r="44" spans="1:7" ht="15.75" x14ac:dyDescent="0.25">
      <c r="A44" s="69" t="s">
        <v>90</v>
      </c>
      <c r="B44" s="72">
        <f>'Balance Statement'!D25</f>
        <v>1694850</v>
      </c>
      <c r="C44" s="34"/>
      <c r="D44" s="34"/>
      <c r="E44" s="34"/>
    </row>
    <row r="45" spans="1:7" ht="15.75" x14ac:dyDescent="0.25">
      <c r="A45" s="69" t="s">
        <v>91</v>
      </c>
      <c r="B45" s="72">
        <f>'Balance Statement'!D29</f>
        <v>719545</v>
      </c>
      <c r="C45" s="34"/>
      <c r="D45" s="34"/>
      <c r="E45" s="34"/>
    </row>
    <row r="46" spans="1:7" ht="15.75" x14ac:dyDescent="0.25">
      <c r="A46" s="69" t="s">
        <v>92</v>
      </c>
      <c r="B46" s="72">
        <f>'Balance Statement'!D6</f>
        <v>6087688</v>
      </c>
      <c r="C46" s="34"/>
      <c r="D46" s="34"/>
      <c r="E46" s="34"/>
    </row>
    <row r="47" spans="1:7" ht="15.75" x14ac:dyDescent="0.25">
      <c r="A47" s="70" t="s">
        <v>93</v>
      </c>
      <c r="B47" s="72">
        <f>'Balance Statement'!D2+'Balance Statement'!D8+'Balance Statement'!D12+'Balance Statement'!D16+'Balance Statement'!D14</f>
        <v>7959775</v>
      </c>
      <c r="C47" s="34"/>
      <c r="D47" s="34"/>
      <c r="E47" s="34"/>
    </row>
    <row r="48" spans="1:7" ht="15.75" x14ac:dyDescent="0.25">
      <c r="A48" s="71" t="s">
        <v>94</v>
      </c>
      <c r="B48" s="73">
        <f>B42-B43-B44-B45+B46+B47</f>
        <v>34530731.724505424</v>
      </c>
      <c r="C48" s="34"/>
      <c r="D48" s="29"/>
      <c r="E48" s="34"/>
    </row>
    <row r="49" spans="1:5" ht="15.75" x14ac:dyDescent="0.25">
      <c r="A49" s="54" t="s">
        <v>95</v>
      </c>
      <c r="B49" s="74">
        <f>9.87*'Balance Statement'!D44</f>
        <v>11291.279999999999</v>
      </c>
      <c r="C49" s="34"/>
      <c r="D49" s="34"/>
      <c r="E49" s="34"/>
    </row>
    <row r="50" spans="1:5" ht="15.75" x14ac:dyDescent="0.25">
      <c r="A50" s="71" t="s">
        <v>98</v>
      </c>
      <c r="B50" s="73">
        <f>B48-B49</f>
        <v>34519440.444505423</v>
      </c>
      <c r="C50" s="34"/>
      <c r="D50" s="34"/>
      <c r="E50" s="34"/>
    </row>
    <row r="51" spans="1:5" ht="15.75" x14ac:dyDescent="0.25">
      <c r="A51" s="65" t="s">
        <v>34</v>
      </c>
      <c r="B51" s="72">
        <f>'Balance Statement'!D45</f>
        <v>31396.49</v>
      </c>
      <c r="C51" s="34"/>
      <c r="D51" s="34"/>
      <c r="E51" s="34"/>
    </row>
    <row r="52" spans="1:5" ht="15.75" x14ac:dyDescent="0.25">
      <c r="A52" s="71" t="s">
        <v>99</v>
      </c>
      <c r="B52" s="75">
        <f>B50/B51</f>
        <v>1099.468139416394</v>
      </c>
      <c r="C52" s="34"/>
      <c r="D52" s="34"/>
      <c r="E52" s="34"/>
    </row>
    <row r="53" spans="1:5" ht="15.75" x14ac:dyDescent="0.25">
      <c r="A53" s="54" t="s">
        <v>100</v>
      </c>
      <c r="B53" s="76">
        <v>35.1</v>
      </c>
      <c r="C53" s="34"/>
      <c r="D53" s="34"/>
      <c r="E53" s="34"/>
    </row>
    <row r="54" spans="1:5" ht="15.75" x14ac:dyDescent="0.25">
      <c r="A54" s="71" t="s">
        <v>101</v>
      </c>
      <c r="B54" s="77">
        <f>(B52-B53)/B52</f>
        <v>0.96807547327507715</v>
      </c>
      <c r="C54" s="34"/>
      <c r="D54" s="34"/>
      <c r="E54" s="34"/>
    </row>
    <row r="55" spans="1:5" ht="15.75" x14ac:dyDescent="0.25">
      <c r="A55" s="71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 Valuation</vt:lpstr>
      <vt:lpstr>Introduction</vt:lpstr>
      <vt:lpstr>P$L</vt:lpstr>
      <vt:lpstr>Balance Statement</vt:lpstr>
      <vt:lpstr>Cashflow</vt:lpstr>
      <vt:lpstr>Zenith bank Equity 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2024-09-04T11:37:01Z</dcterms:created>
  <dcterms:modified xsi:type="dcterms:W3CDTF">2024-10-07T11:14:39Z</dcterms:modified>
</cp:coreProperties>
</file>