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han Khan\Documents\EXCEL PRACTICE\Intermediate Excel Files\"/>
    </mc:Choice>
  </mc:AlternateContent>
  <xr:revisionPtr revIDLastSave="0" documentId="13_ncr:1_{46956700-1DA8-4CC7-B68E-D5DB90F34560}" xr6:coauthVersionLast="47" xr6:coauthVersionMax="47" xr10:uidLastSave="{00000000-0000-0000-0000-000000000000}"/>
  <bookViews>
    <workbookView xWindow="1425" yWindow="1425" windowWidth="13860" windowHeight="11385" firstSheet="3" activeTab="5" xr2:uid="{00000000-000D-0000-FFFF-FFFF00000000}"/>
  </bookViews>
  <sheets>
    <sheet name="Basic Vlookup" sheetId="7" r:id="rId1"/>
    <sheet name="Hlookup" sheetId="8" r:id="rId2"/>
    <sheet name="Xlookup - BETTER" sheetId="9" r:id="rId3"/>
    <sheet name="Xlookup 2" sheetId="10" r:id="rId4"/>
    <sheet name="Xlookup 3" sheetId="11" r:id="rId5"/>
    <sheet name="Xlookup 4" sheetId="12" r:id="rId6"/>
    <sheet name="Xlookup 5" sheetId="13" r:id="rId7"/>
    <sheet name="SumFilter" sheetId="14" r:id="rId8"/>
    <sheet name="Exact Match" sheetId="1" r:id="rId9"/>
    <sheet name="Multiple Items" sheetId="2" r:id="rId10"/>
    <sheet name="Finds Matching " sheetId="3" r:id="rId11"/>
    <sheet name="Nested" sheetId="4" r:id="rId12"/>
    <sheet name="SUM" sheetId="5" r:id="rId13"/>
    <sheet name="INDEX and MATCH" sheetId="6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2" l="1"/>
  <c r="I4" i="12"/>
  <c r="J8" i="14" a="1"/>
  <c r="J8" i="14" s="1"/>
  <c r="J3" i="13" a="1"/>
  <c r="J3" i="13" s="1"/>
  <c r="I3" i="12"/>
  <c r="I3" i="11" a="1"/>
  <c r="I3" i="11" s="1"/>
  <c r="I8" i="10"/>
  <c r="I8" i="9"/>
  <c r="I4" i="9"/>
  <c r="I3" i="7"/>
  <c r="C9" i="8"/>
  <c r="E3" i="14"/>
  <c r="F3" i="14" s="1"/>
  <c r="J4" i="14" a="1"/>
  <c r="J4" i="14" s="1"/>
  <c r="E3" i="13"/>
  <c r="F3" i="13"/>
  <c r="F3" i="12"/>
  <c r="C4" i="12"/>
  <c r="F4" i="12"/>
  <c r="C5" i="12"/>
  <c r="C6" i="12" s="1"/>
  <c r="C7" i="12" s="1"/>
  <c r="C8" i="12" s="1"/>
  <c r="C9" i="12" s="1"/>
  <c r="C10" i="12" s="1"/>
  <c r="C11" i="12" s="1"/>
  <c r="C12" i="12" s="1"/>
  <c r="C13" i="12" s="1"/>
  <c r="C14" i="12" s="1"/>
  <c r="F5" i="12"/>
  <c r="F6" i="12"/>
  <c r="F7" i="12"/>
  <c r="F8" i="12"/>
  <c r="F9" i="12"/>
  <c r="F10" i="12"/>
  <c r="F11" i="12"/>
  <c r="F12" i="12"/>
  <c r="F13" i="12"/>
  <c r="F14" i="12"/>
  <c r="F3" i="11"/>
  <c r="C4" i="1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E3" i="10"/>
  <c r="B4" i="10"/>
  <c r="B5" i="10" s="1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3" i="9"/>
  <c r="B4" i="9"/>
  <c r="E4" i="9"/>
  <c r="B5" i="9"/>
  <c r="B6" i="9" s="1"/>
  <c r="B7" i="9" s="1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F3" i="7"/>
  <c r="C4" i="7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B6" i="10" l="1"/>
  <c r="B7" i="10" s="1"/>
  <c r="B8" i="10" s="1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I4" i="10"/>
  <c r="F3" i="4" a="1"/>
  <c r="F3" i="4" s="1"/>
  <c r="E3" i="4" a="1"/>
  <c r="E3" i="4" s="1"/>
  <c r="C15" i="1"/>
  <c r="C16" i="1"/>
  <c r="C13" i="1"/>
  <c r="E3" i="5" l="1"/>
  <c r="D3" i="5"/>
  <c r="N10" i="6"/>
  <c r="N11" i="6"/>
  <c r="K11" i="6"/>
  <c r="C11" i="6" a="1"/>
  <c r="C11" i="6" s="1"/>
  <c r="E2" i="3"/>
  <c r="B2" i="2" a="1"/>
  <c r="B2" i="2" s="1"/>
  <c r="F2" i="1"/>
  <c r="E7" i="5"/>
  <c r="E8" i="5"/>
  <c r="E9" i="5"/>
  <c r="E10" i="5"/>
  <c r="E6" i="5"/>
  <c r="F11" i="4"/>
  <c r="G10" i="4"/>
  <c r="G9" i="4"/>
  <c r="G7" i="4"/>
  <c r="D8" i="4"/>
  <c r="D11" i="4" s="1"/>
  <c r="D12" i="4" s="1"/>
  <c r="D13" i="4" s="1"/>
  <c r="D14" i="4" s="1"/>
  <c r="E8" i="4"/>
  <c r="E11" i="4" s="1"/>
  <c r="E12" i="4" s="1"/>
  <c r="E13" i="4" s="1"/>
  <c r="F8" i="4"/>
  <c r="C8" i="4"/>
  <c r="G6" i="4"/>
  <c r="E14" i="4" l="1"/>
  <c r="G8" i="4"/>
  <c r="F12" i="4"/>
  <c r="F13" i="4" s="1"/>
  <c r="F14" i="4" s="1"/>
  <c r="C11" i="4"/>
  <c r="C12" i="4" s="1"/>
  <c r="G11" i="4" l="1"/>
  <c r="D3" i="4" a="1"/>
  <c r="D3" i="4" s="1"/>
  <c r="G12" i="4"/>
  <c r="C13" i="4"/>
  <c r="C14" i="4" s="1"/>
  <c r="G13" i="4" l="1"/>
  <c r="G14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Ezhan Khan</author>
  </authors>
  <commentList>
    <comment ref="E2" authorId="0" shapeId="0" xr:uid="{22E20C47-C4D8-4A1C-9757-35BE48256C82}">
      <text>
        <r>
          <rPr>
            <b/>
            <i/>
            <sz val="9"/>
            <color indexed="81"/>
            <rFont val="Tahoma"/>
            <family val="2"/>
          </rPr>
          <t xml:space="preserve">Side Note: 'Commission' fee = </t>
        </r>
        <r>
          <rPr>
            <sz val="9"/>
            <color indexed="81"/>
            <rFont val="Tahoma"/>
            <family val="2"/>
          </rPr>
          <t>Fee PAID to a PERSON/COMPANY for EXECUTING a Transaction (Selling Real Estate, Insurance, Security Payment…). TYPICALLY is PERCENTAGE of TOTAL SALE!</t>
        </r>
      </text>
    </comment>
    <comment ref="I4" authorId="0" shapeId="0" xr:uid="{9849C07D-1C3A-46E2-8ED8-7CC9FEE703B8}">
      <text>
        <r>
          <rPr>
            <b/>
            <sz val="9"/>
            <color indexed="81"/>
            <rFont val="Tahoma"/>
            <family val="2"/>
          </rPr>
          <t xml:space="preserve">DOES NOT WORK, since is NOT from LEFT to RIGHT - XLOOKUP is BETTER!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Ezhan Khan</author>
  </authors>
  <commentList>
    <comment ref="I8" authorId="0" shapeId="0" xr:uid="{FD06E5D1-4C8C-4FAC-A0A0-092F362D02AF}">
      <text>
        <r>
          <rPr>
            <b/>
            <sz val="9"/>
            <color indexed="81"/>
            <rFont val="Tahoma"/>
            <family val="2"/>
          </rPr>
          <t>MODIFY to RETURN a Statement indicating WHEN a Name is NOT WITHIN the Table!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Ezhan Khan</author>
  </authors>
  <commentList>
    <comment ref="I3" authorId="0" shapeId="0" xr:uid="{F3FA4BB4-B10B-4A2F-A97B-77880758010E}">
      <text>
        <r>
          <rPr>
            <sz val="9"/>
            <color indexed="81"/>
            <rFont val="Tahoma"/>
            <family val="2"/>
          </rPr>
          <t>Selected MULTIPLE RETURN ARRAYS we WANT - so UPDATES here!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Ezhan Khan</author>
  </authors>
  <commentList>
    <comment ref="I3" authorId="0" shapeId="0" xr:uid="{50BD208A-D529-4E72-94DE-C7548233C544}">
      <text>
        <r>
          <rPr>
            <b/>
            <sz val="9"/>
            <color indexed="81"/>
            <rFont val="Tahoma"/>
            <family val="2"/>
          </rPr>
          <t xml:space="preserve">Here </t>
        </r>
        <r>
          <rPr>
            <sz val="9"/>
            <color indexed="81"/>
            <rFont val="Tahoma"/>
            <family val="2"/>
          </rPr>
          <t xml:space="preserve">for </t>
        </r>
        <r>
          <rPr>
            <b/>
            <sz val="9"/>
            <color indexed="81"/>
            <rFont val="Tahoma"/>
            <family val="2"/>
          </rPr>
          <t>MATCH MODES (</t>
        </r>
        <r>
          <rPr>
            <i/>
            <sz val="9"/>
            <color indexed="81"/>
            <rFont val="Tahoma"/>
            <family val="2"/>
          </rPr>
          <t xml:space="preserve">Specify if EXACT Match or Not)
</t>
        </r>
        <r>
          <rPr>
            <b/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Tahoma"/>
            <family val="2"/>
          </rPr>
          <t>used</t>
        </r>
        <r>
          <rPr>
            <b/>
            <sz val="9"/>
            <color indexed="81"/>
            <rFont val="Tahoma"/>
            <family val="2"/>
          </rPr>
          <t xml:space="preserve"> WILDCARD in the LOOKUP VALUE - ANY CELL that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STARTS WITH 'Nike'! </t>
        </r>
        <r>
          <rPr>
            <sz val="9"/>
            <color indexed="81"/>
            <rFont val="Tahoma"/>
            <family val="2"/>
          </rPr>
          <t xml:space="preserve">Also </t>
        </r>
        <r>
          <rPr>
            <b/>
            <sz val="9"/>
            <color indexed="81"/>
            <rFont val="Tahoma"/>
            <family val="2"/>
          </rPr>
          <t>Specifed WILDCARD for MATCH Mode  '2'</t>
        </r>
      </text>
    </comment>
    <comment ref="H4" authorId="0" shapeId="0" xr:uid="{C77E1B3C-3E1B-4A31-ACE2-37E9E10B093B}">
      <text>
        <r>
          <rPr>
            <sz val="9"/>
            <color indexed="81"/>
            <rFont val="Tahoma"/>
            <family val="2"/>
          </rPr>
          <t>SAME THING WORKS - AS LONG as a cell WITHIN the Table CONTAINS the CHARACTERS IN THIS Cell!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Ezhan Khan</author>
  </authors>
  <commentList>
    <comment ref="J3" authorId="0" shapeId="0" xr:uid="{AD0234A0-40CB-4D2C-A2F3-13417609001D}">
      <text>
        <r>
          <rPr>
            <b/>
            <sz val="9"/>
            <color indexed="81"/>
            <rFont val="Tahoma"/>
            <family val="2"/>
          </rPr>
          <t xml:space="preserve">DOUBLE XLOOKUP - NESTED!
</t>
        </r>
        <r>
          <rPr>
            <i/>
            <sz val="9"/>
            <color indexed="81"/>
            <rFont val="Tahoma"/>
            <family val="2"/>
          </rPr>
          <t>So FILTER BY 2 Criteria Now (BOTH 'Salesperon' AND 'Year')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Ezhan Khan</author>
  </authors>
  <commentList>
    <comment ref="J8" authorId="0" shapeId="0" xr:uid="{F5D1716C-6EA1-49F3-95C7-71922A4FC089}">
      <text>
        <r>
          <rPr>
            <b/>
            <sz val="9"/>
            <color indexed="81"/>
            <rFont val="Tahoma"/>
            <family val="2"/>
          </rPr>
          <t>Uses NESTED 'FILTER' Function:
1st Filter = for 'SALESPERSON = Harley Fritz'
2nd Filter = AROUND the 1st Filter, for 'YEAR = 2019'
FINALLY just do SUM AROUND EVERYTHING - ADDS ALL UP!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Ezhan Khan</author>
  </authors>
  <commentList>
    <comment ref="B15" authorId="0" shapeId="0" xr:uid="{791DB6BD-D2AA-48F8-84E9-1236EF4D8B8E}">
      <text>
        <r>
          <rPr>
            <sz val="9"/>
            <color indexed="81"/>
            <rFont val="Tahoma"/>
            <family val="2"/>
          </rPr>
          <t>Starting from LHS of the Cell - Select the Cell, SEARCH for the DELIMETER " " (SPACE) IN the Cell and SPLIT at ONE CELL BEFORE this (-1)</t>
        </r>
      </text>
    </comment>
    <comment ref="B16" authorId="0" shapeId="0" xr:uid="{9CEB6CAE-AE97-4CA3-B2A5-C9538547EBAF}">
      <text>
        <r>
          <rPr>
            <sz val="9"/>
            <color indexed="81"/>
            <rFont val="Tahoma"/>
            <family val="2"/>
          </rPr>
          <t>STARTING from RHS, SELECT the Cell, then do the LENGTH of CELL MINUS everything BEFORE/INCLUDING the DELIMETER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Ezhan Khan</author>
  </authors>
  <commentList>
    <comment ref="B2" authorId="0" shapeId="0" xr:uid="{1ACE256D-186D-4605-9374-DBA6D606CE8E}">
      <text>
        <r>
          <rPr>
            <sz val="9"/>
            <color indexed="81"/>
            <rFont val="Tahoma"/>
            <family val="2"/>
          </rPr>
          <t xml:space="preserve">Just Selected BOTH 'Employee Name' AND 'Role' COLUMNS IN our  RETURN ARRAY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Ezhan Khan</author>
  </authors>
  <commentList>
    <comment ref="D3" authorId="0" shapeId="0" xr:uid="{CD70D2C8-F751-4065-BE70-DB20EA5A37FE}">
      <text>
        <r>
          <rPr>
            <sz val="9"/>
            <color indexed="81"/>
            <rFont val="Tahoma"/>
            <family val="2"/>
          </rPr>
          <t xml:space="preserve">If NOT EXACT Value FROM Table, this way will ROUND it UP or DOWN to NEXT Largest (1) OR Smallest Value (-1)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Ezhan Khan</author>
  </authors>
  <commentList>
    <comment ref="D3" authorId="0" shapeId="0" xr:uid="{379ACD5F-D3BC-4729-9699-6F70E2877EED}">
      <text>
        <r>
          <rPr>
            <sz val="9"/>
            <color indexed="81"/>
            <rFont val="Tahoma"/>
            <family val="2"/>
          </rPr>
          <t>Finds the GROSS PROFIT, IN the Table, FOR a GIVEN 'QUARTER' (Qtr1, Qtr2…Total) = NESTED XLOOKUP.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<sst xmlns="http://schemas.openxmlformats.org/spreadsheetml/2006/main" count="388" uniqueCount="155">
  <si>
    <t>Country</t>
  </si>
  <si>
    <t>Abr</t>
  </si>
  <si>
    <t>Prefix</t>
  </si>
  <si>
    <t>What is the dial code?</t>
  </si>
  <si>
    <t>China</t>
  </si>
  <si>
    <t>CN</t>
  </si>
  <si>
    <t>Mexico</t>
  </si>
  <si>
    <t>India</t>
  </si>
  <si>
    <t>IN</t>
  </si>
  <si>
    <t>United States</t>
  </si>
  <si>
    <t>US</t>
  </si>
  <si>
    <t>Indonesia</t>
  </si>
  <si>
    <t>ID</t>
  </si>
  <si>
    <t>Brazil</t>
  </si>
  <si>
    <t>BR</t>
  </si>
  <si>
    <t>Pakistan</t>
  </si>
  <si>
    <t>PK</t>
  </si>
  <si>
    <t>NG</t>
  </si>
  <si>
    <t>Bangladesh</t>
  </si>
  <si>
    <t>BD</t>
  </si>
  <si>
    <t>Russia</t>
  </si>
  <si>
    <t>RU</t>
  </si>
  <si>
    <t>MX</t>
  </si>
  <si>
    <t>Emp ID</t>
  </si>
  <si>
    <t>Employee Name</t>
  </si>
  <si>
    <t>Walter White</t>
  </si>
  <si>
    <t>Jesse Pinkman</t>
  </si>
  <si>
    <t>Gus Fring</t>
  </si>
  <si>
    <t>Jane Margolis</t>
  </si>
  <si>
    <t>Hank Schrader</t>
  </si>
  <si>
    <t>Mike Ehrmantraut</t>
  </si>
  <si>
    <t>Todd Alquest</t>
  </si>
  <si>
    <t>Tuco Salamanca</t>
  </si>
  <si>
    <t>Skyler White</t>
  </si>
  <si>
    <t>Gale Boetticher</t>
  </si>
  <si>
    <t>Tax Rate</t>
  </si>
  <si>
    <t>Max Income</t>
  </si>
  <si>
    <t>Income</t>
  </si>
  <si>
    <t>Quarter</t>
  </si>
  <si>
    <t>Gross Profit</t>
  </si>
  <si>
    <t>Net Profit</t>
  </si>
  <si>
    <t>Profit %</t>
  </si>
  <si>
    <t>Income Statment</t>
  </si>
  <si>
    <t>Qtr1</t>
  </si>
  <si>
    <t>Qtr2</t>
  </si>
  <si>
    <t>Qtr3</t>
  </si>
  <si>
    <t>Qtr4</t>
  </si>
  <si>
    <t>Total</t>
  </si>
  <si>
    <t>Total Sales</t>
  </si>
  <si>
    <t>Cost of sales</t>
  </si>
  <si>
    <t>Depreceation</t>
  </si>
  <si>
    <t>Interest</t>
  </si>
  <si>
    <t>Earnings before tax</t>
  </si>
  <si>
    <t>Tax</t>
  </si>
  <si>
    <t>Net profit</t>
  </si>
  <si>
    <t>Start</t>
  </si>
  <si>
    <t>End</t>
  </si>
  <si>
    <t>Apple</t>
  </si>
  <si>
    <t>Cherry</t>
  </si>
  <si>
    <t>Product</t>
  </si>
  <si>
    <t>Qty</t>
  </si>
  <si>
    <t>Price</t>
  </si>
  <si>
    <t>Grape</t>
  </si>
  <si>
    <t>Pear</t>
  </si>
  <si>
    <t>Banana</t>
  </si>
  <si>
    <t>Production</t>
  </si>
  <si>
    <t>DEA Agent</t>
  </si>
  <si>
    <t>Security Consultant</t>
  </si>
  <si>
    <t>Production/Labour</t>
  </si>
  <si>
    <t>Distribution</t>
  </si>
  <si>
    <t>Finance/Money Laundering</t>
  </si>
  <si>
    <t>Role</t>
  </si>
  <si>
    <t>CEO of Distribution</t>
  </si>
  <si>
    <t xml:space="preserve">Role </t>
  </si>
  <si>
    <t>2021 Revenue by Quarter (in $ billions)</t>
  </si>
  <si>
    <t>Q1</t>
  </si>
  <si>
    <t>Q2</t>
  </si>
  <si>
    <t>Q3</t>
  </si>
  <si>
    <t>Q4</t>
  </si>
  <si>
    <t>Netflix</t>
  </si>
  <si>
    <t>Disney +</t>
  </si>
  <si>
    <t>TikTok</t>
  </si>
  <si>
    <t>YouTube</t>
  </si>
  <si>
    <t>Streaming Service</t>
  </si>
  <si>
    <t>Service</t>
  </si>
  <si>
    <t>Revenue</t>
  </si>
  <si>
    <t xml:space="preserve"> </t>
  </si>
  <si>
    <t>HERE Did this with 'XLOOKUP' 
Showing it Can be Done this way</t>
  </si>
  <si>
    <t xml:space="preserve">Match: </t>
  </si>
  <si>
    <t>Consumer/Recovering Addict</t>
  </si>
  <si>
    <t xml:space="preserve">SUM RANGE = from ONE XLOOKUP Value TO ANOTHER </t>
  </si>
  <si>
    <t>Did with 'INDEX' and 'MATCH' here</t>
  </si>
  <si>
    <t>Same for 'Qty'</t>
  </si>
  <si>
    <t>Match ONLY gives POSITION/INDEX of the Value WITHIN a Given ARRAY</t>
  </si>
  <si>
    <t>Left Split</t>
  </si>
  <si>
    <t>Right Split</t>
  </si>
  <si>
    <t>Goneria</t>
  </si>
  <si>
    <t>4th Argument = 'Match Mode' (EXACT value = 0, NEXT SMALLER Item = -1, NEXT LARGER = 1)</t>
  </si>
  <si>
    <t xml:space="preserve">5th Argument = 'Search Mode' (Search FIRST to LAST = 1, LAST to FIRST = -1, ASCENDING ORDER = 2, DESCENDING Order = -2) </t>
  </si>
  <si>
    <t>e.g.. Here, want to ROUND DOWN to NEXT LOWEST Tax Rate, since '95,000.00' is NOT EXACT value from the Table!</t>
  </si>
  <si>
    <t>This is VERTICAL AND HORIZONTAL LOOKUP TOGETHER!</t>
  </si>
  <si>
    <t>Bill Smith</t>
  </si>
  <si>
    <t>Jaidyn Andersen</t>
  </si>
  <si>
    <t>Bryce Carpenter</t>
  </si>
  <si>
    <t>Arturo Moore</t>
  </si>
  <si>
    <t>Bruce Rich</t>
  </si>
  <si>
    <t>Jaylynn Knapp</t>
  </si>
  <si>
    <t>Bruno Cordova</t>
  </si>
  <si>
    <t>Denzel Flores</t>
  </si>
  <si>
    <t>Alia Thornton</t>
  </si>
  <si>
    <t>Franklin Wright</t>
  </si>
  <si>
    <t>Josue Roach</t>
  </si>
  <si>
    <t>Lucia Mckay</t>
  </si>
  <si>
    <t>Steven Michael</t>
  </si>
  <si>
    <t>Nora Rollins</t>
  </si>
  <si>
    <t>Kylee Townsend</t>
  </si>
  <si>
    <t>Jordan Boone</t>
  </si>
  <si>
    <t>Jonah Higgins</t>
  </si>
  <si>
    <t>Ivan Hines</t>
  </si>
  <si>
    <t>David Rasmussen</t>
  </si>
  <si>
    <t>Nyla Novak</t>
  </si>
  <si>
    <t>Harley Fritz</t>
  </si>
  <si>
    <t>Kennedi Singh</t>
  </si>
  <si>
    <t>Commission</t>
  </si>
  <si>
    <t>Salesperson</t>
  </si>
  <si>
    <t>Sale Amount</t>
  </si>
  <si>
    <t>Date</t>
  </si>
  <si>
    <t>ID Number</t>
  </si>
  <si>
    <t>Xlookup</t>
  </si>
  <si>
    <t>Vlookup</t>
  </si>
  <si>
    <t>P&amp;G Global</t>
  </si>
  <si>
    <t>Adidas Co.</t>
  </si>
  <si>
    <t>Ralph Lauren Int.</t>
  </si>
  <si>
    <t>H&amp;M International</t>
  </si>
  <si>
    <t>Zara Fashion</t>
  </si>
  <si>
    <t>Adobe Inc</t>
  </si>
  <si>
    <t>Pepsi Co</t>
  </si>
  <si>
    <t>XYZ Limited</t>
  </si>
  <si>
    <t>Apple EMEA</t>
  </si>
  <si>
    <t>Amazon UK</t>
  </si>
  <si>
    <t>Nike Inc.</t>
  </si>
  <si>
    <t>Nike</t>
  </si>
  <si>
    <t>Coca-Cola Inc.</t>
  </si>
  <si>
    <t>Name</t>
  </si>
  <si>
    <t>Company</t>
  </si>
  <si>
    <t>Figures in USD</t>
  </si>
  <si>
    <t>Year</t>
  </si>
  <si>
    <t>Commissions by Salesperson</t>
  </si>
  <si>
    <t>Sum &amp; Filter</t>
  </si>
  <si>
    <t>Aragorn</t>
  </si>
  <si>
    <t>H&amp;M</t>
  </si>
  <si>
    <t>WHAT if ONE Person has MULTIPLE SALES?</t>
  </si>
  <si>
    <t>XLOOKUP would ONLY work for ONE of</t>
  </si>
  <si>
    <t>the Sales - so is LIMITED!</t>
  </si>
  <si>
    <t>INSTEAD, use 'SUMFILTER' - includes ALL SALES!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</si>
</sst>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&quot;$&quot;#,##0_);[Red]\(&quot;$&quot;#,##0\)"/>
    <numFmt numFmtId="165" formatCode="&quot;$&quot;#,##0.00_);[Red]\(&quot;$&quot;#,##0.00\)"/>
    <numFmt numFmtId="166" formatCode="_-&quot;$&quot;* #,##0.00_-;\-&quot;$&quot;* #,##0.00_-;_-&quot;$&quot;* &quot;-&quot;??_-;_-@_-"/>
    <numFmt numFmtId="167" formatCode="0.0%"/>
    <numFmt numFmtId="168" formatCode="_([$$-409]* #,##0.00_);_([$$-409]* \(#,##0.00\);_([$$-409]* &quot;-&quot;??_);_(@_)"/>
    <numFmt numFmtId="169" formatCode="\+0"/>
    <numFmt numFmtId="170" formatCode="_-[$$-409]* #,##0.00_ ;_-[$$-409]* \-#,##0.00\ ;_-[$$-409]* &quot;-&quot;??_ ;_-@_ "/>
    <numFmt numFmtId="171" formatCode="[$$-409]#,##0"/>
    <numFmt numFmtId="172" formatCode="[$$-409]#,##0.00"/>
  </numFmts>
  <fonts count="1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i/>
      <sz val="9"/>
      <color indexed="81"/>
      <name val="Tahoma"/>
      <family val="2"/>
    </font>
    <font>
      <i/>
      <sz val="9"/>
      <color indexed="81"/>
      <name val="Tahoma"/>
      <family val="2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293D68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8" fillId="0" borderId="0"/>
  </cellStyleXfs>
  <cellXfs count="55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/>
    </xf>
    <xf numFmtId="0" fontId="4" fillId="0" borderId="1" xfId="0" applyFont="1" applyBorder="1"/>
    <xf numFmtId="169" fontId="0" fillId="0" borderId="1" xfId="0" applyNumberFormat="1" applyBorder="1"/>
    <xf numFmtId="0" fontId="6" fillId="2" borderId="0" xfId="3" applyFont="1"/>
    <xf numFmtId="0" fontId="0" fillId="0" borderId="1" xfId="0" applyBorder="1"/>
    <xf numFmtId="0" fontId="7" fillId="2" borderId="0" xfId="3" applyFont="1"/>
    <xf numFmtId="0" fontId="6" fillId="2" borderId="1" xfId="3" applyFont="1" applyBorder="1"/>
    <xf numFmtId="9" fontId="4" fillId="0" borderId="1" xfId="0" applyNumberFormat="1" applyFont="1" applyBorder="1"/>
    <xf numFmtId="166" fontId="4" fillId="0" borderId="1" xfId="1" applyFont="1" applyBorder="1"/>
    <xf numFmtId="0" fontId="8" fillId="3" borderId="1" xfId="4" applyFont="1" applyBorder="1"/>
    <xf numFmtId="0" fontId="5" fillId="3" borderId="1" xfId="4" applyFont="1" applyBorder="1"/>
    <xf numFmtId="166" fontId="5" fillId="3" borderId="1" xfId="1" applyFont="1" applyFill="1" applyBorder="1"/>
    <xf numFmtId="0" fontId="7" fillId="2" borderId="1" xfId="3" applyFont="1" applyBorder="1"/>
    <xf numFmtId="0" fontId="6" fillId="2" borderId="0" xfId="3" applyFont="1" applyAlignment="1">
      <alignment horizontal="right"/>
    </xf>
    <xf numFmtId="0" fontId="6" fillId="2" borderId="0" xfId="3" applyFont="1" applyAlignment="1">
      <alignment horizontal="left"/>
    </xf>
    <xf numFmtId="168" fontId="8" fillId="3" borderId="1" xfId="4" applyNumberFormat="1" applyFont="1" applyBorder="1"/>
    <xf numFmtId="9" fontId="0" fillId="0" borderId="1" xfId="2" applyFont="1" applyBorder="1"/>
    <xf numFmtId="166" fontId="0" fillId="0" borderId="1" xfId="1" applyFont="1" applyBorder="1"/>
    <xf numFmtId="169" fontId="8" fillId="3" borderId="1" xfId="4" applyNumberFormat="1" applyFont="1" applyBorder="1"/>
    <xf numFmtId="168" fontId="5" fillId="3" borderId="1" xfId="4" applyNumberFormat="1" applyFont="1" applyBorder="1"/>
    <xf numFmtId="164" fontId="5" fillId="3" borderId="1" xfId="4" applyNumberFormat="1" applyFont="1" applyBorder="1"/>
    <xf numFmtId="165" fontId="5" fillId="3" borderId="1" xfId="4" applyNumberFormat="1" applyFont="1" applyBorder="1"/>
    <xf numFmtId="167" fontId="5" fillId="3" borderId="1" xfId="4" applyNumberFormat="1" applyFont="1" applyBorder="1"/>
    <xf numFmtId="9" fontId="4" fillId="0" borderId="1" xfId="1" applyNumberFormat="1" applyFont="1" applyBorder="1"/>
    <xf numFmtId="0" fontId="0" fillId="0" borderId="0" xfId="0" applyAlignment="1">
      <alignment horizontal="center"/>
    </xf>
    <xf numFmtId="166" fontId="0" fillId="0" borderId="0" xfId="1" applyFont="1"/>
    <xf numFmtId="170" fontId="0" fillId="0" borderId="0" xfId="0" applyNumberFormat="1"/>
    <xf numFmtId="0" fontId="9" fillId="0" borderId="0" xfId="0" applyFont="1"/>
    <xf numFmtId="0" fontId="0" fillId="0" borderId="0" xfId="0" applyAlignment="1">
      <alignment horizontal="center" vertical="center"/>
    </xf>
    <xf numFmtId="2" fontId="0" fillId="0" borderId="0" xfId="0" applyNumberFormat="1"/>
    <xf numFmtId="0" fontId="7" fillId="2" borderId="2" xfId="3" applyFont="1" applyBorder="1"/>
    <xf numFmtId="0" fontId="8" fillId="0" borderId="0" xfId="5"/>
    <xf numFmtId="14" fontId="8" fillId="0" borderId="0" xfId="5" applyNumberFormat="1"/>
    <xf numFmtId="171" fontId="8" fillId="0" borderId="0" xfId="5" applyNumberFormat="1"/>
    <xf numFmtId="1" fontId="8" fillId="0" borderId="0" xfId="5" applyNumberFormat="1"/>
    <xf numFmtId="0" fontId="6" fillId="4" borderId="0" xfId="5" applyFont="1" applyFill="1" applyAlignment="1">
      <alignment horizontal="center"/>
    </xf>
    <xf numFmtId="0" fontId="6" fillId="4" borderId="0" xfId="5" applyFont="1" applyFill="1" applyAlignment="1">
      <alignment horizontal="left"/>
    </xf>
    <xf numFmtId="171" fontId="8" fillId="0" borderId="0" xfId="5" applyNumberFormat="1" applyAlignment="1">
      <alignment horizontal="center"/>
    </xf>
    <xf numFmtId="14" fontId="8" fillId="0" borderId="0" xfId="5" applyNumberFormat="1" applyAlignment="1">
      <alignment horizontal="center"/>
    </xf>
    <xf numFmtId="1" fontId="8" fillId="0" borderId="0" xfId="5" applyNumberFormat="1" applyAlignment="1">
      <alignment horizontal="left"/>
    </xf>
    <xf numFmtId="0" fontId="5" fillId="5" borderId="0" xfId="5" applyFont="1" applyFill="1"/>
    <xf numFmtId="0" fontId="11" fillId="0" borderId="0" xfId="5" applyFont="1"/>
    <xf numFmtId="0" fontId="8" fillId="0" borderId="0" xfId="5" applyAlignment="1">
      <alignment horizontal="center"/>
    </xf>
    <xf numFmtId="0" fontId="8" fillId="5" borderId="0" xfId="5" applyFill="1" applyAlignment="1">
      <alignment horizontal="center"/>
    </xf>
    <xf numFmtId="0" fontId="12" fillId="5" borderId="0" xfId="5" applyFont="1" applyFill="1" applyAlignment="1">
      <alignment horizontal="left"/>
    </xf>
    <xf numFmtId="172" fontId="8" fillId="0" borderId="0" xfId="5" applyNumberFormat="1"/>
    <xf numFmtId="171" fontId="8" fillId="0" borderId="0" xfId="5" applyNumberFormat="1" applyAlignment="1">
      <alignment horizontal="center" wrapText="1"/>
    </xf>
    <xf numFmtId="0" fontId="16" fillId="0" borderId="0" xfId="5" applyFont="1"/>
    <xf numFmtId="0" fontId="5" fillId="0" borderId="0" xfId="5" applyFont="1"/>
    <xf numFmtId="0" fontId="6" fillId="4" borderId="0" xfId="5" applyFont="1" applyFill="1" applyAlignment="1">
      <alignment horizontal="center"/>
    </xf>
    <xf numFmtId="0" fontId="6" fillId="2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wrapText="1"/>
    </xf>
  </cellXfs>
  <cellStyles count="6">
    <cellStyle name="20% - Accent2" xfId="4" builtinId="34"/>
    <cellStyle name="Accent2" xfId="3" builtinId="33"/>
    <cellStyle name="Currency" xfId="1" builtinId="4"/>
    <cellStyle name="Normal" xfId="0" builtinId="0"/>
    <cellStyle name="Normal 2" xfId="5" xr:uid="{7BA37CCD-AD2C-4A46-AA17-CA4AA87C50D9}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180975</xdr:colOff>
      <xdr:row>2</xdr:row>
      <xdr:rowOff>171449</xdr:rowOff>
    </xdr:from>
    <xdr:to>
      <xdr:col>10</xdr:col>
      <xdr:colOff>58135</xdr:colOff>
      <xdr:row>3</xdr:row>
      <xdr:rowOff>161924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5F3880-7858-36DA-3DB5-D2CCDAEA3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86800" y="571499"/>
          <a:ext cx="686785" cy="390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91BE-99E2-4F81-B2FE-F37DE4905585}">
  <dimension ref="A1:I27"/>
  <sheetViews>
    <sheetView showGridLines="0" zoomScale="99" workbookViewId="0">
      <selection activeCell="A3" sqref="A3"/>
    </sheetView>
  </sheetViews>
  <sheetFormatPr defaultColWidth="12.140625" defaultRowHeight="15.75" x14ac:dyDescent="0.25"/>
  <cols>
    <col min="1" max="1" width="12.140625" style="33"/>
    <col min="2" max="2" width="17.7109375" style="33" bestFit="1" customWidth="1"/>
    <col min="3" max="4" width="12.140625" style="33"/>
    <col min="5" max="5" width="13.28515625" style="33" bestFit="1" customWidth="1"/>
    <col min="6" max="6" width="12.7109375" style="33" bestFit="1" customWidth="1"/>
    <col min="7" max="16384" width="12.140625" style="33"/>
  </cols>
  <sheetData>
    <row r="1" spans="1:9" x14ac:dyDescent="0.25">
      <c r="A1" s="33" t="s">
        <v>86</v>
      </c>
    </row>
    <row r="2" spans="1:9" x14ac:dyDescent="0.25">
      <c r="B2" s="37" t="s">
        <v>124</v>
      </c>
      <c r="C2" s="37" t="s">
        <v>127</v>
      </c>
      <c r="D2" s="37" t="s">
        <v>126</v>
      </c>
      <c r="E2" s="37" t="s">
        <v>125</v>
      </c>
      <c r="F2" s="37" t="s">
        <v>123</v>
      </c>
      <c r="H2" s="37" t="s">
        <v>124</v>
      </c>
      <c r="I2" s="37" t="s">
        <v>123</v>
      </c>
    </row>
    <row r="3" spans="1:9" x14ac:dyDescent="0.25">
      <c r="B3" s="33" t="s">
        <v>122</v>
      </c>
      <c r="C3" s="36">
        <v>124300</v>
      </c>
      <c r="D3" s="34">
        <v>44754</v>
      </c>
      <c r="E3" s="35">
        <v>5436.33</v>
      </c>
      <c r="F3" s="35">
        <f t="shared" ref="F3:F24" si="0">E3*0.2</f>
        <v>1087.2660000000001</v>
      </c>
      <c r="H3" s="33" t="s">
        <v>121</v>
      </c>
      <c r="I3" s="35">
        <f>VLOOKUP(H3,B3:F24,5,FALSE)</f>
        <v>1239.48324</v>
      </c>
    </row>
    <row r="4" spans="1:9" x14ac:dyDescent="0.25">
      <c r="B4" s="33" t="s">
        <v>121</v>
      </c>
      <c r="C4" s="36">
        <f>C3*1.2</f>
        <v>149160</v>
      </c>
      <c r="D4" s="34">
        <v>44751</v>
      </c>
      <c r="E4" s="35">
        <v>6197.4161999999997</v>
      </c>
      <c r="F4" s="35">
        <f t="shared" si="0"/>
        <v>1239.48324</v>
      </c>
    </row>
    <row r="5" spans="1:9" x14ac:dyDescent="0.25">
      <c r="B5" s="33" t="s">
        <v>120</v>
      </c>
      <c r="C5" s="36">
        <f>C4*1.02</f>
        <v>152143.20000000001</v>
      </c>
      <c r="D5" s="34">
        <v>44753</v>
      </c>
      <c r="E5" s="35">
        <v>7065.0544679999994</v>
      </c>
      <c r="F5" s="35">
        <f t="shared" si="0"/>
        <v>1413.0108935999999</v>
      </c>
    </row>
    <row r="6" spans="1:9" x14ac:dyDescent="0.25">
      <c r="B6" s="33" t="s">
        <v>119</v>
      </c>
      <c r="C6" s="36">
        <f>C5*0.8</f>
        <v>121714.56000000001</v>
      </c>
      <c r="D6" s="34">
        <v>44748</v>
      </c>
      <c r="E6" s="35">
        <v>8054.1620935199981</v>
      </c>
      <c r="F6" s="35">
        <f t="shared" si="0"/>
        <v>1610.8324187039998</v>
      </c>
    </row>
    <row r="7" spans="1:9" x14ac:dyDescent="0.25">
      <c r="B7" s="33" t="s">
        <v>118</v>
      </c>
      <c r="C7" s="36">
        <f>C6*0.9</f>
        <v>109543.10400000001</v>
      </c>
      <c r="D7" s="34">
        <v>44752</v>
      </c>
      <c r="E7" s="35">
        <v>9181.7447866127968</v>
      </c>
      <c r="F7" s="35">
        <f t="shared" si="0"/>
        <v>1836.3489573225595</v>
      </c>
    </row>
    <row r="8" spans="1:9" x14ac:dyDescent="0.25">
      <c r="B8" s="33" t="s">
        <v>117</v>
      </c>
      <c r="C8" s="36">
        <f>C7*1.1</f>
        <v>120497.41440000002</v>
      </c>
      <c r="D8" s="34">
        <v>44755</v>
      </c>
      <c r="E8" s="35">
        <v>10467.189056738587</v>
      </c>
      <c r="F8" s="35">
        <f t="shared" si="0"/>
        <v>2093.4378113477173</v>
      </c>
    </row>
    <row r="9" spans="1:9" x14ac:dyDescent="0.25">
      <c r="B9" s="33" t="s">
        <v>116</v>
      </c>
      <c r="C9" s="36">
        <f>C8*1.02</f>
        <v>122907.36268800002</v>
      </c>
      <c r="D9" s="34">
        <v>44757</v>
      </c>
      <c r="E9" s="35">
        <v>2446.3485000000001</v>
      </c>
      <c r="F9" s="35">
        <f t="shared" si="0"/>
        <v>489.26970000000006</v>
      </c>
    </row>
    <row r="10" spans="1:9" x14ac:dyDescent="0.25">
      <c r="B10" s="33" t="s">
        <v>115</v>
      </c>
      <c r="C10" s="36">
        <f>C9*0.8</f>
        <v>98325.890150400024</v>
      </c>
      <c r="D10" s="34">
        <v>44754</v>
      </c>
      <c r="E10" s="35">
        <v>2690.9833500000004</v>
      </c>
      <c r="F10" s="35">
        <f t="shared" si="0"/>
        <v>538.19667000000015</v>
      </c>
    </row>
    <row r="11" spans="1:9" x14ac:dyDescent="0.25">
      <c r="B11" s="33" t="s">
        <v>114</v>
      </c>
      <c r="C11" s="36">
        <f>C10*0.9</f>
        <v>88493.30113536003</v>
      </c>
      <c r="D11" s="34">
        <v>44756</v>
      </c>
      <c r="E11" s="35">
        <v>2960.0816850000001</v>
      </c>
      <c r="F11" s="35">
        <f t="shared" si="0"/>
        <v>592.01633700000002</v>
      </c>
    </row>
    <row r="12" spans="1:9" x14ac:dyDescent="0.25">
      <c r="B12" s="33" t="s">
        <v>113</v>
      </c>
      <c r="C12" s="36">
        <f>C11*1.1</f>
        <v>97342.631248896039</v>
      </c>
      <c r="D12" s="34">
        <v>44751</v>
      </c>
      <c r="E12" s="35">
        <v>3256.0898535000001</v>
      </c>
      <c r="F12" s="35">
        <f t="shared" si="0"/>
        <v>651.21797070000002</v>
      </c>
    </row>
    <row r="13" spans="1:9" x14ac:dyDescent="0.25">
      <c r="B13" s="33" t="s">
        <v>112</v>
      </c>
      <c r="C13" s="36">
        <f>C12*1.02</f>
        <v>99289.483873873964</v>
      </c>
      <c r="D13" s="34">
        <v>44755</v>
      </c>
      <c r="E13" s="35">
        <v>3581.6988388500008</v>
      </c>
      <c r="F13" s="35">
        <f t="shared" si="0"/>
        <v>716.33976777000021</v>
      </c>
    </row>
    <row r="14" spans="1:9" x14ac:dyDescent="0.25">
      <c r="B14" s="33" t="s">
        <v>111</v>
      </c>
      <c r="C14" s="36">
        <f>C13*0.8</f>
        <v>79431.587099099183</v>
      </c>
      <c r="D14" s="34">
        <v>44758</v>
      </c>
      <c r="E14" s="35">
        <v>3939.8687227350015</v>
      </c>
      <c r="F14" s="35">
        <f t="shared" si="0"/>
        <v>787.97374454700036</v>
      </c>
    </row>
    <row r="15" spans="1:9" x14ac:dyDescent="0.25">
      <c r="B15" s="33" t="s">
        <v>110</v>
      </c>
      <c r="C15" s="36">
        <f>C14*0.9</f>
        <v>71488.42838918927</v>
      </c>
      <c r="D15" s="34">
        <v>44760</v>
      </c>
      <c r="E15" s="35">
        <v>4333.855595008502</v>
      </c>
      <c r="F15" s="35">
        <f t="shared" si="0"/>
        <v>866.77111900170041</v>
      </c>
    </row>
    <row r="16" spans="1:9" x14ac:dyDescent="0.25">
      <c r="B16" s="33" t="s">
        <v>109</v>
      </c>
      <c r="C16" s="36">
        <f>C15*1.1</f>
        <v>78637.271228108206</v>
      </c>
      <c r="D16" s="34">
        <v>44757</v>
      </c>
      <c r="E16" s="35">
        <v>4767.2411545093528</v>
      </c>
      <c r="F16" s="35">
        <f t="shared" si="0"/>
        <v>953.4482309018706</v>
      </c>
    </row>
    <row r="17" spans="2:6" x14ac:dyDescent="0.25">
      <c r="B17" s="33" t="s">
        <v>108</v>
      </c>
      <c r="C17" s="36">
        <f>C16*1.02</f>
        <v>80210.016652670369</v>
      </c>
      <c r="D17" s="34">
        <v>44759</v>
      </c>
      <c r="E17" s="35">
        <v>5243.9652699602884</v>
      </c>
      <c r="F17" s="35">
        <f t="shared" si="0"/>
        <v>1048.7930539920578</v>
      </c>
    </row>
    <row r="18" spans="2:6" x14ac:dyDescent="0.25">
      <c r="B18" s="33" t="s">
        <v>107</v>
      </c>
      <c r="C18" s="36">
        <f>C17*0.8</f>
        <v>64168.013322136299</v>
      </c>
      <c r="D18" s="34">
        <v>44754</v>
      </c>
      <c r="E18" s="35">
        <v>5768.3617969563174</v>
      </c>
      <c r="F18" s="35">
        <f t="shared" si="0"/>
        <v>1153.6723593912636</v>
      </c>
    </row>
    <row r="19" spans="2:6" x14ac:dyDescent="0.25">
      <c r="B19" s="33" t="s">
        <v>106</v>
      </c>
      <c r="C19" s="36">
        <f>C18*0.9</f>
        <v>57751.211989922667</v>
      </c>
      <c r="D19" s="34">
        <v>44758</v>
      </c>
      <c r="E19" s="35">
        <v>5191.525617260686</v>
      </c>
      <c r="F19" s="35">
        <f t="shared" si="0"/>
        <v>1038.3051234521372</v>
      </c>
    </row>
    <row r="20" spans="2:6" x14ac:dyDescent="0.25">
      <c r="B20" s="33" t="s">
        <v>105</v>
      </c>
      <c r="C20" s="36">
        <f>C19*1.1</f>
        <v>63526.333188914941</v>
      </c>
      <c r="D20" s="34">
        <v>44761</v>
      </c>
      <c r="E20" s="35">
        <v>6748.9833024388909</v>
      </c>
      <c r="F20" s="35">
        <f t="shared" si="0"/>
        <v>1349.7966604877784</v>
      </c>
    </row>
    <row r="21" spans="2:6" x14ac:dyDescent="0.25">
      <c r="B21" s="33" t="s">
        <v>104</v>
      </c>
      <c r="C21" s="36">
        <f>C20*1.02</f>
        <v>64796.85985269324</v>
      </c>
      <c r="D21" s="34">
        <v>44763</v>
      </c>
      <c r="E21" s="35">
        <v>8773.6782931705584</v>
      </c>
      <c r="F21" s="35">
        <f t="shared" si="0"/>
        <v>1754.7356586341118</v>
      </c>
    </row>
    <row r="22" spans="2:6" x14ac:dyDescent="0.25">
      <c r="B22" s="33" t="s">
        <v>103</v>
      </c>
      <c r="C22" s="36">
        <f>C21*0.8</f>
        <v>51837.487882154594</v>
      </c>
      <c r="D22" s="34">
        <v>44760</v>
      </c>
      <c r="E22" s="35">
        <v>11405.781781121728</v>
      </c>
      <c r="F22" s="35">
        <f t="shared" si="0"/>
        <v>2281.1563562243459</v>
      </c>
    </row>
    <row r="23" spans="2:6" x14ac:dyDescent="0.25">
      <c r="B23" s="33" t="s">
        <v>102</v>
      </c>
      <c r="C23" s="36">
        <f>C22*0.9</f>
        <v>46653.739093939133</v>
      </c>
      <c r="D23" s="34">
        <v>44762</v>
      </c>
      <c r="E23" s="35">
        <v>6650</v>
      </c>
      <c r="F23" s="35">
        <f t="shared" si="0"/>
        <v>1330</v>
      </c>
    </row>
    <row r="24" spans="2:6" x14ac:dyDescent="0.25">
      <c r="B24" s="33" t="s">
        <v>101</v>
      </c>
      <c r="C24" s="36">
        <f>C23*1.1</f>
        <v>51319.113003333048</v>
      </c>
      <c r="D24" s="34">
        <v>44757</v>
      </c>
      <c r="E24" s="35">
        <v>7341</v>
      </c>
      <c r="F24" s="35">
        <f t="shared" si="0"/>
        <v>1468.2</v>
      </c>
    </row>
    <row r="25" spans="2:6" x14ac:dyDescent="0.25">
      <c r="D25" s="34"/>
    </row>
    <row r="26" spans="2:6" x14ac:dyDescent="0.25">
      <c r="D26" s="34"/>
    </row>
    <row r="27" spans="2:6" x14ac:dyDescent="0.25">
      <c r="D27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ABAF-499A-48D3-9CA9-D59D31215F8F}">
  <dimension ref="B2:X9"/>
  <sheetViews>
    <sheetView showGridLines="0" workbookViewId="0">
      <selection activeCell="C10" sqref="C10"/>
    </sheetView>
  </sheetViews>
  <sheetFormatPr defaultColWidth="12.140625" defaultRowHeight="15.75" x14ac:dyDescent="0.25"/>
  <cols>
    <col min="1" max="1" width="12.140625" style="33"/>
    <col min="2" max="2" width="13.28515625" style="33" bestFit="1" customWidth="1"/>
    <col min="3" max="16384" width="12.140625" style="33"/>
  </cols>
  <sheetData>
    <row r="2" spans="2:24" x14ac:dyDescent="0.25">
      <c r="B2" s="38" t="s">
        <v>124</v>
      </c>
      <c r="C2" s="33" t="s">
        <v>122</v>
      </c>
      <c r="D2" s="33" t="s">
        <v>121</v>
      </c>
      <c r="E2" s="33" t="s">
        <v>120</v>
      </c>
      <c r="F2" s="33" t="s">
        <v>119</v>
      </c>
      <c r="G2" s="33" t="s">
        <v>118</v>
      </c>
      <c r="H2" s="33" t="s">
        <v>117</v>
      </c>
      <c r="I2" s="33" t="s">
        <v>116</v>
      </c>
      <c r="J2" s="33" t="s">
        <v>115</v>
      </c>
      <c r="K2" s="33" t="s">
        <v>114</v>
      </c>
      <c r="L2" s="33" t="s">
        <v>113</v>
      </c>
      <c r="M2" s="33" t="s">
        <v>112</v>
      </c>
      <c r="N2" s="33" t="s">
        <v>111</v>
      </c>
      <c r="O2" s="33" t="s">
        <v>110</v>
      </c>
      <c r="P2" s="33" t="s">
        <v>109</v>
      </c>
      <c r="Q2" s="33" t="s">
        <v>108</v>
      </c>
      <c r="R2" s="33" t="s">
        <v>107</v>
      </c>
      <c r="S2" s="33" t="s">
        <v>106</v>
      </c>
      <c r="T2" s="33" t="s">
        <v>105</v>
      </c>
      <c r="U2" s="33" t="s">
        <v>104</v>
      </c>
      <c r="V2" s="33" t="s">
        <v>103</v>
      </c>
      <c r="W2" s="33" t="s">
        <v>102</v>
      </c>
      <c r="X2" s="33" t="s">
        <v>101</v>
      </c>
    </row>
    <row r="3" spans="2:24" x14ac:dyDescent="0.25">
      <c r="B3" s="38" t="s">
        <v>127</v>
      </c>
      <c r="C3" s="36">
        <v>124300</v>
      </c>
      <c r="D3" s="36">
        <v>149160</v>
      </c>
      <c r="E3" s="36">
        <v>152143.20000000001</v>
      </c>
      <c r="F3" s="36">
        <v>121714.56000000001</v>
      </c>
      <c r="G3" s="36">
        <v>109543.10400000001</v>
      </c>
      <c r="H3" s="36">
        <v>120497.41440000002</v>
      </c>
      <c r="I3" s="36">
        <v>122907.36268800002</v>
      </c>
      <c r="J3" s="36">
        <v>98325.890150400024</v>
      </c>
      <c r="K3" s="36">
        <v>88493.30113536003</v>
      </c>
      <c r="L3" s="36">
        <v>97342.631248896039</v>
      </c>
      <c r="M3" s="36">
        <v>99289.483873873964</v>
      </c>
      <c r="N3" s="36">
        <v>79431.587099099183</v>
      </c>
      <c r="O3" s="36">
        <v>71488.42838918927</v>
      </c>
      <c r="P3" s="36">
        <v>78637.271228108206</v>
      </c>
      <c r="Q3" s="36">
        <v>80210.016652670369</v>
      </c>
      <c r="R3" s="36">
        <v>64168.013322136299</v>
      </c>
      <c r="S3" s="36">
        <v>57751.211989922667</v>
      </c>
      <c r="T3" s="36">
        <v>63526.333188914941</v>
      </c>
      <c r="U3" s="36">
        <v>64796.85985269324</v>
      </c>
      <c r="V3" s="36">
        <v>51837.487882154594</v>
      </c>
      <c r="W3" s="36">
        <v>46653.739093939133</v>
      </c>
      <c r="X3" s="36">
        <v>51319.113003333048</v>
      </c>
    </row>
    <row r="4" spans="2:24" x14ac:dyDescent="0.25">
      <c r="B4" s="38" t="s">
        <v>126</v>
      </c>
      <c r="C4" s="34">
        <v>44754</v>
      </c>
      <c r="D4" s="34">
        <v>44751</v>
      </c>
      <c r="E4" s="34">
        <v>44753</v>
      </c>
      <c r="F4" s="34">
        <v>44748</v>
      </c>
      <c r="G4" s="34">
        <v>44752</v>
      </c>
      <c r="H4" s="34">
        <v>44755</v>
      </c>
      <c r="I4" s="34">
        <v>44757</v>
      </c>
      <c r="J4" s="34">
        <v>44754</v>
      </c>
      <c r="K4" s="34">
        <v>44756</v>
      </c>
      <c r="L4" s="34">
        <v>44751</v>
      </c>
      <c r="M4" s="34">
        <v>44755</v>
      </c>
      <c r="N4" s="34">
        <v>44758</v>
      </c>
      <c r="O4" s="34">
        <v>44760</v>
      </c>
      <c r="P4" s="34">
        <v>44757</v>
      </c>
      <c r="Q4" s="34">
        <v>44759</v>
      </c>
      <c r="R4" s="34">
        <v>44754</v>
      </c>
      <c r="S4" s="34">
        <v>44758</v>
      </c>
      <c r="T4" s="34">
        <v>44761</v>
      </c>
      <c r="U4" s="34">
        <v>44763</v>
      </c>
      <c r="V4" s="34">
        <v>44760</v>
      </c>
      <c r="W4" s="34">
        <v>44762</v>
      </c>
      <c r="X4" s="34">
        <v>44757</v>
      </c>
    </row>
    <row r="5" spans="2:24" x14ac:dyDescent="0.25">
      <c r="B5" s="38" t="s">
        <v>125</v>
      </c>
      <c r="C5" s="35">
        <v>5436.33</v>
      </c>
      <c r="D5" s="35">
        <v>6197.4161999999997</v>
      </c>
      <c r="E5" s="35">
        <v>7065.0544679999994</v>
      </c>
      <c r="F5" s="35">
        <v>8054.1620935199981</v>
      </c>
      <c r="G5" s="35">
        <v>9181.7447866127968</v>
      </c>
      <c r="H5" s="35">
        <v>10467.189056738587</v>
      </c>
      <c r="I5" s="35">
        <v>2446.3485000000001</v>
      </c>
      <c r="J5" s="35">
        <v>2690.9833500000004</v>
      </c>
      <c r="K5" s="35">
        <v>2960.0816850000001</v>
      </c>
      <c r="L5" s="35">
        <v>3256.0898535000001</v>
      </c>
      <c r="M5" s="35">
        <v>3581.6988388500008</v>
      </c>
      <c r="N5" s="35">
        <v>3939.8687227350015</v>
      </c>
      <c r="O5" s="35">
        <v>4333.855595008502</v>
      </c>
      <c r="P5" s="35">
        <v>4767.2411545093528</v>
      </c>
      <c r="Q5" s="35">
        <v>5243.9652699602884</v>
      </c>
      <c r="R5" s="35">
        <v>5768.3617969563174</v>
      </c>
      <c r="S5" s="35">
        <v>5191.525617260686</v>
      </c>
      <c r="T5" s="35">
        <v>6748.9833024388909</v>
      </c>
      <c r="U5" s="35">
        <v>8773.6782931705584</v>
      </c>
      <c r="V5" s="35">
        <v>11405.781781121728</v>
      </c>
      <c r="W5" s="35">
        <v>6650</v>
      </c>
      <c r="X5" s="35">
        <v>7341</v>
      </c>
    </row>
    <row r="6" spans="2:24" x14ac:dyDescent="0.25">
      <c r="B6" s="38" t="s">
        <v>123</v>
      </c>
      <c r="C6" s="35">
        <v>1087.2660000000001</v>
      </c>
      <c r="D6" s="35">
        <v>1239.48324</v>
      </c>
      <c r="E6" s="35">
        <v>1413.0108935999999</v>
      </c>
      <c r="F6" s="35">
        <v>1610.8324187039998</v>
      </c>
      <c r="G6" s="35">
        <v>1836.3489573225595</v>
      </c>
      <c r="H6" s="35">
        <v>2093.4378113477173</v>
      </c>
      <c r="I6" s="35">
        <v>489.26970000000006</v>
      </c>
      <c r="J6" s="35">
        <v>538.19667000000015</v>
      </c>
      <c r="K6" s="35">
        <v>592.01633700000002</v>
      </c>
      <c r="L6" s="35">
        <v>651.21797070000002</v>
      </c>
      <c r="M6" s="35">
        <v>716.33976777000021</v>
      </c>
      <c r="N6" s="35">
        <v>787.97374454700036</v>
      </c>
      <c r="O6" s="35">
        <v>866.77111900170041</v>
      </c>
      <c r="P6" s="35">
        <v>953.4482309018706</v>
      </c>
      <c r="Q6" s="35">
        <v>1048.7930539920578</v>
      </c>
      <c r="R6" s="35">
        <v>1153.6723593912636</v>
      </c>
      <c r="S6" s="35">
        <v>1038.3051234521372</v>
      </c>
      <c r="T6" s="35">
        <v>1349.7966604877784</v>
      </c>
      <c r="U6" s="35">
        <v>1754.7356586341118</v>
      </c>
      <c r="V6" s="35">
        <v>2281.1563562243459</v>
      </c>
      <c r="W6" s="35">
        <v>1330</v>
      </c>
      <c r="X6" s="35">
        <v>1468.2</v>
      </c>
    </row>
    <row r="8" spans="2:24" x14ac:dyDescent="0.25">
      <c r="B8" s="38" t="s">
        <v>124</v>
      </c>
      <c r="C8" s="38" t="s">
        <v>123</v>
      </c>
    </row>
    <row r="9" spans="2:24" x14ac:dyDescent="0.25">
      <c r="B9" s="33" t="s">
        <v>121</v>
      </c>
      <c r="C9" s="35">
        <f>HLOOKUP(B9,C2:X6, 5,FALSE)</f>
        <v>1239.48324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BB90-07C5-4E63-B104-8F5CA1AF2835}">
  <dimension ref="A1:I27"/>
  <sheetViews>
    <sheetView showGridLines="0" workbookViewId="0">
      <selection activeCell="I4" sqref="I4"/>
    </sheetView>
  </sheetViews>
  <sheetFormatPr defaultColWidth="12.140625" defaultRowHeight="15.75" x14ac:dyDescent="0.25"/>
  <cols>
    <col min="1" max="3" width="12.140625" style="33"/>
    <col min="4" max="4" width="13.28515625" style="33" bestFit="1" customWidth="1"/>
    <col min="5" max="5" width="12.7109375" style="33" bestFit="1" customWidth="1"/>
    <col min="6" max="6" width="17.7109375" style="33" bestFit="1" customWidth="1"/>
    <col min="7" max="7" width="7.85546875" style="33" customWidth="1"/>
    <col min="8" max="8" width="12.140625" style="33"/>
    <col min="9" max="9" width="14.140625" style="33" bestFit="1" customWidth="1"/>
    <col min="10" max="10" width="9.28515625" style="33" customWidth="1"/>
    <col min="11" max="16384" width="12.140625" style="33"/>
  </cols>
  <sheetData>
    <row r="1" spans="1:9" x14ac:dyDescent="0.25">
      <c r="A1" s="33" t="s">
        <v>86</v>
      </c>
    </row>
    <row r="2" spans="1:9" x14ac:dyDescent="0.25">
      <c r="B2" s="37" t="s">
        <v>127</v>
      </c>
      <c r="C2" s="37" t="s">
        <v>126</v>
      </c>
      <c r="D2" s="37" t="s">
        <v>125</v>
      </c>
      <c r="E2" s="37" t="s">
        <v>123</v>
      </c>
      <c r="F2" s="37" t="s">
        <v>124</v>
      </c>
      <c r="H2" s="51" t="s">
        <v>129</v>
      </c>
      <c r="I2" s="51"/>
    </row>
    <row r="3" spans="1:9" x14ac:dyDescent="0.25">
      <c r="B3" s="41">
        <v>124300</v>
      </c>
      <c r="C3" s="40">
        <v>44754</v>
      </c>
      <c r="D3" s="39">
        <v>5436.33</v>
      </c>
      <c r="E3" s="39">
        <f t="shared" ref="E3:E24" si="0">D3*0.2</f>
        <v>1087.2660000000001</v>
      </c>
      <c r="F3" s="33" t="s">
        <v>122</v>
      </c>
      <c r="H3" s="42" t="s">
        <v>124</v>
      </c>
      <c r="I3" s="42" t="s">
        <v>123</v>
      </c>
    </row>
    <row r="4" spans="1:9" x14ac:dyDescent="0.25">
      <c r="B4" s="41">
        <f>B3*1.2</f>
        <v>149160</v>
      </c>
      <c r="C4" s="40">
        <v>44751</v>
      </c>
      <c r="D4" s="39">
        <v>6197.4161999999997</v>
      </c>
      <c r="E4" s="39">
        <f t="shared" si="0"/>
        <v>1239.48324</v>
      </c>
      <c r="F4" s="33" t="s">
        <v>121</v>
      </c>
      <c r="H4" s="33" t="s">
        <v>121</v>
      </c>
      <c r="I4" s="35" t="e">
        <f>VLOOKUP(H4,B3:F24,-1,FALSE)</f>
        <v>#N/A</v>
      </c>
    </row>
    <row r="5" spans="1:9" x14ac:dyDescent="0.25">
      <c r="B5" s="41">
        <f>B4*1.02</f>
        <v>152143.20000000001</v>
      </c>
      <c r="C5" s="40">
        <v>44753</v>
      </c>
      <c r="D5" s="39">
        <v>7065.0544679999994</v>
      </c>
      <c r="E5" s="39">
        <f t="shared" si="0"/>
        <v>1413.0108935999999</v>
      </c>
      <c r="F5" s="33" t="s">
        <v>120</v>
      </c>
    </row>
    <row r="6" spans="1:9" x14ac:dyDescent="0.25">
      <c r="B6" s="41">
        <f>B5*0.8</f>
        <v>121714.56000000001</v>
      </c>
      <c r="C6" s="40">
        <v>44748</v>
      </c>
      <c r="D6" s="39">
        <v>8054.1620935199981</v>
      </c>
      <c r="E6" s="39">
        <f t="shared" si="0"/>
        <v>1610.8324187039998</v>
      </c>
      <c r="F6" s="33" t="s">
        <v>119</v>
      </c>
      <c r="H6" s="51" t="s">
        <v>128</v>
      </c>
      <c r="I6" s="51"/>
    </row>
    <row r="7" spans="1:9" x14ac:dyDescent="0.25">
      <c r="B7" s="41">
        <f>B6*0.9</f>
        <v>109543.10400000001</v>
      </c>
      <c r="C7" s="40">
        <v>44752</v>
      </c>
      <c r="D7" s="39">
        <v>9181.7447866127968</v>
      </c>
      <c r="E7" s="39">
        <f t="shared" si="0"/>
        <v>1836.3489573225595</v>
      </c>
      <c r="F7" s="33" t="s">
        <v>118</v>
      </c>
      <c r="H7" s="42" t="s">
        <v>124</v>
      </c>
      <c r="I7" s="42" t="s">
        <v>123</v>
      </c>
    </row>
    <row r="8" spans="1:9" x14ac:dyDescent="0.25">
      <c r="B8" s="41">
        <f>B7*1.1</f>
        <v>120497.41440000002</v>
      </c>
      <c r="C8" s="40">
        <v>44755</v>
      </c>
      <c r="D8" s="39">
        <v>10467.189056738587</v>
      </c>
      <c r="E8" s="39">
        <f t="shared" si="0"/>
        <v>2093.4378113477173</v>
      </c>
      <c r="F8" s="33" t="s">
        <v>117</v>
      </c>
      <c r="H8" s="33" t="s">
        <v>121</v>
      </c>
      <c r="I8" s="35">
        <f>_xlfn.XLOOKUP(H8,F3:F24,D3:D24)</f>
        <v>6197.4161999999997</v>
      </c>
    </row>
    <row r="9" spans="1:9" x14ac:dyDescent="0.25">
      <c r="B9" s="41">
        <f>B8*1.02</f>
        <v>122907.36268800002</v>
      </c>
      <c r="C9" s="40">
        <v>44757</v>
      </c>
      <c r="D9" s="39">
        <v>2446.3485000000001</v>
      </c>
      <c r="E9" s="39">
        <f t="shared" si="0"/>
        <v>489.26970000000006</v>
      </c>
      <c r="F9" s="33" t="s">
        <v>116</v>
      </c>
    </row>
    <row r="10" spans="1:9" x14ac:dyDescent="0.25">
      <c r="B10" s="41">
        <f>B9*0.8</f>
        <v>98325.890150400024</v>
      </c>
      <c r="C10" s="40">
        <v>44754</v>
      </c>
      <c r="D10" s="39">
        <v>2690.9833500000004</v>
      </c>
      <c r="E10" s="39">
        <f t="shared" si="0"/>
        <v>538.19667000000015</v>
      </c>
      <c r="F10" s="33" t="s">
        <v>115</v>
      </c>
    </row>
    <row r="11" spans="1:9" x14ac:dyDescent="0.25">
      <c r="B11" s="41">
        <f>B10*0.9</f>
        <v>88493.30113536003</v>
      </c>
      <c r="C11" s="40">
        <v>44756</v>
      </c>
      <c r="D11" s="39">
        <v>2960.0816850000001</v>
      </c>
      <c r="E11" s="39">
        <f t="shared" si="0"/>
        <v>592.01633700000002</v>
      </c>
      <c r="F11" s="33" t="s">
        <v>114</v>
      </c>
    </row>
    <row r="12" spans="1:9" x14ac:dyDescent="0.25">
      <c r="B12" s="41">
        <f>B11*1.1</f>
        <v>97342.631248896039</v>
      </c>
      <c r="C12" s="40">
        <v>44751</v>
      </c>
      <c r="D12" s="39">
        <v>3256.0898535000001</v>
      </c>
      <c r="E12" s="39">
        <f t="shared" si="0"/>
        <v>651.21797070000002</v>
      </c>
      <c r="F12" s="33" t="s">
        <v>113</v>
      </c>
    </row>
    <row r="13" spans="1:9" x14ac:dyDescent="0.25">
      <c r="B13" s="41">
        <f>B12*1.02</f>
        <v>99289.483873873964</v>
      </c>
      <c r="C13" s="40">
        <v>44755</v>
      </c>
      <c r="D13" s="39">
        <v>3581.6988388500008</v>
      </c>
      <c r="E13" s="39">
        <f t="shared" si="0"/>
        <v>716.33976777000021</v>
      </c>
      <c r="F13" s="33" t="s">
        <v>112</v>
      </c>
    </row>
    <row r="14" spans="1:9" x14ac:dyDescent="0.25">
      <c r="B14" s="41">
        <f>B13*0.8</f>
        <v>79431.587099099183</v>
      </c>
      <c r="C14" s="40">
        <v>44758</v>
      </c>
      <c r="D14" s="39">
        <v>3939.8687227350015</v>
      </c>
      <c r="E14" s="39">
        <f t="shared" si="0"/>
        <v>787.97374454700036</v>
      </c>
      <c r="F14" s="33" t="s">
        <v>111</v>
      </c>
    </row>
    <row r="15" spans="1:9" x14ac:dyDescent="0.25">
      <c r="B15" s="41">
        <f>B14*0.9</f>
        <v>71488.42838918927</v>
      </c>
      <c r="C15" s="40">
        <v>44760</v>
      </c>
      <c r="D15" s="39">
        <v>4333.855595008502</v>
      </c>
      <c r="E15" s="39">
        <f t="shared" si="0"/>
        <v>866.77111900170041</v>
      </c>
      <c r="F15" s="33" t="s">
        <v>110</v>
      </c>
    </row>
    <row r="16" spans="1:9" x14ac:dyDescent="0.25">
      <c r="B16" s="41">
        <f>B15*1.1</f>
        <v>78637.271228108206</v>
      </c>
      <c r="C16" s="40">
        <v>44757</v>
      </c>
      <c r="D16" s="39">
        <v>4767.2411545093528</v>
      </c>
      <c r="E16" s="39">
        <f t="shared" si="0"/>
        <v>953.4482309018706</v>
      </c>
      <c r="F16" s="33" t="s">
        <v>109</v>
      </c>
    </row>
    <row r="17" spans="2:6" x14ac:dyDescent="0.25">
      <c r="B17" s="41">
        <f>B16*1.02</f>
        <v>80210.016652670369</v>
      </c>
      <c r="C17" s="40">
        <v>44759</v>
      </c>
      <c r="D17" s="39">
        <v>5243.9652699602884</v>
      </c>
      <c r="E17" s="39">
        <f t="shared" si="0"/>
        <v>1048.7930539920578</v>
      </c>
      <c r="F17" s="33" t="s">
        <v>108</v>
      </c>
    </row>
    <row r="18" spans="2:6" x14ac:dyDescent="0.25">
      <c r="B18" s="41">
        <f>B17*0.8</f>
        <v>64168.013322136299</v>
      </c>
      <c r="C18" s="40">
        <v>44754</v>
      </c>
      <c r="D18" s="39">
        <v>5768.3617969563174</v>
      </c>
      <c r="E18" s="39">
        <f t="shared" si="0"/>
        <v>1153.6723593912636</v>
      </c>
      <c r="F18" s="33" t="s">
        <v>107</v>
      </c>
    </row>
    <row r="19" spans="2:6" x14ac:dyDescent="0.25">
      <c r="B19" s="41">
        <f>B18*0.9</f>
        <v>57751.211989922667</v>
      </c>
      <c r="C19" s="40">
        <v>44758</v>
      </c>
      <c r="D19" s="39">
        <v>5191.525617260686</v>
      </c>
      <c r="E19" s="39">
        <f t="shared" si="0"/>
        <v>1038.3051234521372</v>
      </c>
      <c r="F19" s="33" t="s">
        <v>106</v>
      </c>
    </row>
    <row r="20" spans="2:6" x14ac:dyDescent="0.25">
      <c r="B20" s="41">
        <f>B19*1.1</f>
        <v>63526.333188914941</v>
      </c>
      <c r="C20" s="40">
        <v>44761</v>
      </c>
      <c r="D20" s="39">
        <v>6748.9833024388909</v>
      </c>
      <c r="E20" s="39">
        <f t="shared" si="0"/>
        <v>1349.7966604877784</v>
      </c>
      <c r="F20" s="33" t="s">
        <v>105</v>
      </c>
    </row>
    <row r="21" spans="2:6" x14ac:dyDescent="0.25">
      <c r="B21" s="41">
        <f>B20*1.02</f>
        <v>64796.85985269324</v>
      </c>
      <c r="C21" s="40">
        <v>44763</v>
      </c>
      <c r="D21" s="39">
        <v>8773.6782931705584</v>
      </c>
      <c r="E21" s="39">
        <f t="shared" si="0"/>
        <v>1754.7356586341118</v>
      </c>
      <c r="F21" s="33" t="s">
        <v>104</v>
      </c>
    </row>
    <row r="22" spans="2:6" x14ac:dyDescent="0.25">
      <c r="B22" s="41">
        <f>B21*0.8</f>
        <v>51837.487882154594</v>
      </c>
      <c r="C22" s="40">
        <v>44760</v>
      </c>
      <c r="D22" s="39">
        <v>11405.781781121728</v>
      </c>
      <c r="E22" s="39">
        <f t="shared" si="0"/>
        <v>2281.1563562243459</v>
      </c>
      <c r="F22" s="33" t="s">
        <v>103</v>
      </c>
    </row>
    <row r="23" spans="2:6" x14ac:dyDescent="0.25">
      <c r="B23" s="41">
        <f>B22*0.9</f>
        <v>46653.739093939133</v>
      </c>
      <c r="C23" s="40">
        <v>44762</v>
      </c>
      <c r="D23" s="39">
        <v>6650</v>
      </c>
      <c r="E23" s="39">
        <f t="shared" si="0"/>
        <v>1330</v>
      </c>
      <c r="F23" s="33" t="s">
        <v>102</v>
      </c>
    </row>
    <row r="24" spans="2:6" x14ac:dyDescent="0.25">
      <c r="B24" s="41">
        <f>B23*1.1</f>
        <v>51319.113003333048</v>
      </c>
      <c r="C24" s="40">
        <v>44757</v>
      </c>
      <c r="D24" s="39">
        <v>7341</v>
      </c>
      <c r="E24" s="39">
        <f t="shared" si="0"/>
        <v>1468.2</v>
      </c>
      <c r="F24" s="33" t="s">
        <v>101</v>
      </c>
    </row>
    <row r="25" spans="2:6" x14ac:dyDescent="0.25">
      <c r="C25" s="34"/>
    </row>
    <row r="26" spans="2:6" x14ac:dyDescent="0.25">
      <c r="C26" s="34"/>
    </row>
    <row r="27" spans="2:6" x14ac:dyDescent="0.25">
      <c r="C27" s="34"/>
    </row>
  </sheetData>
  <mergeCells count="2">
    <mergeCell ref="H2:I2"/>
    <mergeCell ref="H6:I6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86E88-A689-4E97-8A20-CE071DC83C5E}">
  <dimension ref="A1:I27"/>
  <sheetViews>
    <sheetView showGridLines="0" topLeftCell="C1" workbookViewId="0">
      <selection activeCell="I8" sqref="I8"/>
    </sheetView>
  </sheetViews>
  <sheetFormatPr defaultColWidth="12.140625" defaultRowHeight="15.75" x14ac:dyDescent="0.25"/>
  <cols>
    <col min="1" max="3" width="12.140625" style="33"/>
    <col min="4" max="4" width="13.28515625" style="33" bestFit="1" customWidth="1"/>
    <col min="5" max="5" width="12.7109375" style="33" bestFit="1" customWidth="1"/>
    <col min="6" max="6" width="17.7109375" style="33" bestFit="1" customWidth="1"/>
    <col min="7" max="7" width="7.85546875" style="33" customWidth="1"/>
    <col min="8" max="8" width="12.140625" style="33"/>
    <col min="9" max="9" width="14.7109375" style="33" bestFit="1" customWidth="1"/>
    <col min="10" max="10" width="9.28515625" style="33" customWidth="1"/>
    <col min="11" max="16384" width="12.140625" style="33"/>
  </cols>
  <sheetData>
    <row r="1" spans="1:9" x14ac:dyDescent="0.25">
      <c r="A1" s="33" t="s">
        <v>86</v>
      </c>
    </row>
    <row r="2" spans="1:9" x14ac:dyDescent="0.25">
      <c r="B2" s="37" t="s">
        <v>127</v>
      </c>
      <c r="C2" s="37" t="s">
        <v>126</v>
      </c>
      <c r="D2" s="37" t="s">
        <v>125</v>
      </c>
      <c r="E2" s="37" t="s">
        <v>123</v>
      </c>
      <c r="F2" s="37" t="s">
        <v>124</v>
      </c>
      <c r="H2" s="51" t="s">
        <v>129</v>
      </c>
      <c r="I2" s="51"/>
    </row>
    <row r="3" spans="1:9" x14ac:dyDescent="0.25">
      <c r="B3" s="41">
        <v>124300</v>
      </c>
      <c r="C3" s="40">
        <v>44754</v>
      </c>
      <c r="D3" s="39">
        <v>5436.33</v>
      </c>
      <c r="E3" s="39">
        <f t="shared" ref="E3:E24" si="0">D3*0.2</f>
        <v>1087.2660000000001</v>
      </c>
      <c r="F3" s="33" t="s">
        <v>122</v>
      </c>
      <c r="H3" s="42" t="s">
        <v>124</v>
      </c>
      <c r="I3" s="42" t="s">
        <v>123</v>
      </c>
    </row>
    <row r="4" spans="1:9" x14ac:dyDescent="0.25">
      <c r="B4" s="41">
        <f>B3*1.2</f>
        <v>149160</v>
      </c>
      <c r="C4" s="40">
        <v>44751</v>
      </c>
      <c r="D4" s="39">
        <v>6197.4161999999997</v>
      </c>
      <c r="E4" s="39">
        <f t="shared" si="0"/>
        <v>1239.48324</v>
      </c>
      <c r="F4" s="33" t="s">
        <v>121</v>
      </c>
      <c r="H4" s="33" t="s">
        <v>121</v>
      </c>
      <c r="I4" s="35" t="e">
        <f>VLOOKUP(H4,B3:F24,-1,FALSE)</f>
        <v>#N/A</v>
      </c>
    </row>
    <row r="5" spans="1:9" x14ac:dyDescent="0.25">
      <c r="B5" s="41">
        <f>B4*1.02</f>
        <v>152143.20000000001</v>
      </c>
      <c r="C5" s="40">
        <v>44753</v>
      </c>
      <c r="D5" s="39">
        <v>7065.0544679999994</v>
      </c>
      <c r="E5" s="39">
        <f t="shared" si="0"/>
        <v>1413.0108935999999</v>
      </c>
      <c r="F5" s="33" t="s">
        <v>120</v>
      </c>
    </row>
    <row r="6" spans="1:9" x14ac:dyDescent="0.25">
      <c r="B6" s="41">
        <f>B5*0.8</f>
        <v>121714.56000000001</v>
      </c>
      <c r="C6" s="40">
        <v>44748</v>
      </c>
      <c r="D6" s="39">
        <v>8054.1620935199981</v>
      </c>
      <c r="E6" s="39">
        <f t="shared" si="0"/>
        <v>1610.8324187039998</v>
      </c>
      <c r="F6" s="33" t="s">
        <v>119</v>
      </c>
      <c r="H6" s="51" t="s">
        <v>128</v>
      </c>
      <c r="I6" s="51"/>
    </row>
    <row r="7" spans="1:9" x14ac:dyDescent="0.25">
      <c r="B7" s="41">
        <f>B6*0.9</f>
        <v>109543.10400000001</v>
      </c>
      <c r="C7" s="40">
        <v>44752</v>
      </c>
      <c r="D7" s="39">
        <v>9181.7447866127968</v>
      </c>
      <c r="E7" s="39">
        <f t="shared" si="0"/>
        <v>1836.3489573225595</v>
      </c>
      <c r="F7" s="33" t="s">
        <v>118</v>
      </c>
      <c r="H7" s="42" t="s">
        <v>124</v>
      </c>
      <c r="I7" s="42" t="s">
        <v>123</v>
      </c>
    </row>
    <row r="8" spans="1:9" x14ac:dyDescent="0.25">
      <c r="B8" s="41">
        <f>B7*1.1</f>
        <v>120497.41440000002</v>
      </c>
      <c r="C8" s="40">
        <v>44755</v>
      </c>
      <c r="D8" s="39">
        <v>10467.189056738587</v>
      </c>
      <c r="E8" s="39">
        <f t="shared" si="0"/>
        <v>2093.4378113477173</v>
      </c>
      <c r="F8" s="33" t="s">
        <v>117</v>
      </c>
      <c r="H8" s="33" t="s">
        <v>149</v>
      </c>
      <c r="I8" s="35" t="str">
        <f>_xlfn.XLOOKUP(H8,F3:F24,E3:E24,"Not on the List")</f>
        <v>Not on the List</v>
      </c>
    </row>
    <row r="9" spans="1:9" x14ac:dyDescent="0.25">
      <c r="B9" s="41">
        <f>B8*1.02</f>
        <v>122907.36268800002</v>
      </c>
      <c r="C9" s="40">
        <v>44757</v>
      </c>
      <c r="D9" s="39">
        <v>2446.3485000000001</v>
      </c>
      <c r="E9" s="39">
        <f t="shared" si="0"/>
        <v>489.26970000000006</v>
      </c>
      <c r="F9" s="33" t="s">
        <v>116</v>
      </c>
    </row>
    <row r="10" spans="1:9" x14ac:dyDescent="0.25">
      <c r="B10" s="41">
        <f>B9*0.8</f>
        <v>98325.890150400024</v>
      </c>
      <c r="C10" s="40">
        <v>44754</v>
      </c>
      <c r="D10" s="39">
        <v>2690.9833500000004</v>
      </c>
      <c r="E10" s="39">
        <f t="shared" si="0"/>
        <v>538.19667000000015</v>
      </c>
      <c r="F10" s="33" t="s">
        <v>115</v>
      </c>
    </row>
    <row r="11" spans="1:9" x14ac:dyDescent="0.25">
      <c r="B11" s="41">
        <f>B10*0.9</f>
        <v>88493.30113536003</v>
      </c>
      <c r="C11" s="40">
        <v>44756</v>
      </c>
      <c r="D11" s="39">
        <v>2960.0816850000001</v>
      </c>
      <c r="E11" s="39">
        <f t="shared" si="0"/>
        <v>592.01633700000002</v>
      </c>
      <c r="F11" s="33" t="s">
        <v>114</v>
      </c>
    </row>
    <row r="12" spans="1:9" x14ac:dyDescent="0.25">
      <c r="B12" s="41">
        <f>B11*1.1</f>
        <v>97342.631248896039</v>
      </c>
      <c r="C12" s="40">
        <v>44751</v>
      </c>
      <c r="D12" s="39">
        <v>3256.0898535000001</v>
      </c>
      <c r="E12" s="39">
        <f t="shared" si="0"/>
        <v>651.21797070000002</v>
      </c>
      <c r="F12" s="33" t="s">
        <v>113</v>
      </c>
    </row>
    <row r="13" spans="1:9" x14ac:dyDescent="0.25">
      <c r="B13" s="41">
        <f>B12*1.02</f>
        <v>99289.483873873964</v>
      </c>
      <c r="C13" s="40">
        <v>44755</v>
      </c>
      <c r="D13" s="39">
        <v>3581.6988388500008</v>
      </c>
      <c r="E13" s="39">
        <f t="shared" si="0"/>
        <v>716.33976777000021</v>
      </c>
      <c r="F13" s="33" t="s">
        <v>112</v>
      </c>
    </row>
    <row r="14" spans="1:9" x14ac:dyDescent="0.25">
      <c r="B14" s="41">
        <f>B13*0.8</f>
        <v>79431.587099099183</v>
      </c>
      <c r="C14" s="40">
        <v>44758</v>
      </c>
      <c r="D14" s="39">
        <v>3939.8687227350015</v>
      </c>
      <c r="E14" s="39">
        <f t="shared" si="0"/>
        <v>787.97374454700036</v>
      </c>
      <c r="F14" s="33" t="s">
        <v>111</v>
      </c>
    </row>
    <row r="15" spans="1:9" x14ac:dyDescent="0.25">
      <c r="B15" s="41">
        <f>B14*0.9</f>
        <v>71488.42838918927</v>
      </c>
      <c r="C15" s="40">
        <v>44760</v>
      </c>
      <c r="D15" s="39">
        <v>4333.855595008502</v>
      </c>
      <c r="E15" s="39">
        <f t="shared" si="0"/>
        <v>866.77111900170041</v>
      </c>
      <c r="F15" s="33" t="s">
        <v>110</v>
      </c>
    </row>
    <row r="16" spans="1:9" x14ac:dyDescent="0.25">
      <c r="B16" s="41">
        <f>B15*1.1</f>
        <v>78637.271228108206</v>
      </c>
      <c r="C16" s="40">
        <v>44757</v>
      </c>
      <c r="D16" s="39">
        <v>4767.2411545093528</v>
      </c>
      <c r="E16" s="39">
        <f t="shared" si="0"/>
        <v>953.4482309018706</v>
      </c>
      <c r="F16" s="33" t="s">
        <v>109</v>
      </c>
    </row>
    <row r="17" spans="2:6" x14ac:dyDescent="0.25">
      <c r="B17" s="41">
        <f>B16*1.02</f>
        <v>80210.016652670369</v>
      </c>
      <c r="C17" s="40">
        <v>44759</v>
      </c>
      <c r="D17" s="39">
        <v>5243.9652699602884</v>
      </c>
      <c r="E17" s="39">
        <f t="shared" si="0"/>
        <v>1048.7930539920578</v>
      </c>
      <c r="F17" s="33" t="s">
        <v>108</v>
      </c>
    </row>
    <row r="18" spans="2:6" x14ac:dyDescent="0.25">
      <c r="B18" s="41">
        <f>B17*0.8</f>
        <v>64168.013322136299</v>
      </c>
      <c r="C18" s="40">
        <v>44754</v>
      </c>
      <c r="D18" s="39">
        <v>5768.3617969563174</v>
      </c>
      <c r="E18" s="39">
        <f t="shared" si="0"/>
        <v>1153.6723593912636</v>
      </c>
      <c r="F18" s="33" t="s">
        <v>107</v>
      </c>
    </row>
    <row r="19" spans="2:6" x14ac:dyDescent="0.25">
      <c r="B19" s="41">
        <f>B18*0.9</f>
        <v>57751.211989922667</v>
      </c>
      <c r="C19" s="40">
        <v>44758</v>
      </c>
      <c r="D19" s="39">
        <v>5191.525617260686</v>
      </c>
      <c r="E19" s="39">
        <f t="shared" si="0"/>
        <v>1038.3051234521372</v>
      </c>
      <c r="F19" s="33" t="s">
        <v>106</v>
      </c>
    </row>
    <row r="20" spans="2:6" x14ac:dyDescent="0.25">
      <c r="B20" s="41">
        <f>B19*1.1</f>
        <v>63526.333188914941</v>
      </c>
      <c r="C20" s="40">
        <v>44761</v>
      </c>
      <c r="D20" s="39">
        <v>6748.9833024388909</v>
      </c>
      <c r="E20" s="39">
        <f t="shared" si="0"/>
        <v>1349.7966604877784</v>
      </c>
      <c r="F20" s="33" t="s">
        <v>105</v>
      </c>
    </row>
    <row r="21" spans="2:6" x14ac:dyDescent="0.25">
      <c r="B21" s="41">
        <f>B20*1.02</f>
        <v>64796.85985269324</v>
      </c>
      <c r="C21" s="40">
        <v>44763</v>
      </c>
      <c r="D21" s="39">
        <v>8773.6782931705584</v>
      </c>
      <c r="E21" s="39">
        <f t="shared" si="0"/>
        <v>1754.7356586341118</v>
      </c>
      <c r="F21" s="33" t="s">
        <v>104</v>
      </c>
    </row>
    <row r="22" spans="2:6" x14ac:dyDescent="0.25">
      <c r="B22" s="41">
        <f>B21*0.8</f>
        <v>51837.487882154594</v>
      </c>
      <c r="C22" s="40">
        <v>44760</v>
      </c>
      <c r="D22" s="39">
        <v>11405.781781121728</v>
      </c>
      <c r="E22" s="39">
        <f t="shared" si="0"/>
        <v>2281.1563562243459</v>
      </c>
      <c r="F22" s="33" t="s">
        <v>103</v>
      </c>
    </row>
    <row r="23" spans="2:6" x14ac:dyDescent="0.25">
      <c r="B23" s="41">
        <f>B22*0.9</f>
        <v>46653.739093939133</v>
      </c>
      <c r="C23" s="40">
        <v>44762</v>
      </c>
      <c r="D23" s="39">
        <v>6650</v>
      </c>
      <c r="E23" s="39">
        <f t="shared" si="0"/>
        <v>1330</v>
      </c>
      <c r="F23" s="33" t="s">
        <v>102</v>
      </c>
    </row>
    <row r="24" spans="2:6" x14ac:dyDescent="0.25">
      <c r="B24" s="41">
        <f>B23*1.1</f>
        <v>51319.113003333048</v>
      </c>
      <c r="C24" s="40">
        <v>44757</v>
      </c>
      <c r="D24" s="39">
        <v>7341</v>
      </c>
      <c r="E24" s="39">
        <f t="shared" si="0"/>
        <v>1468.2</v>
      </c>
      <c r="F24" s="33" t="s">
        <v>101</v>
      </c>
    </row>
    <row r="25" spans="2:6" x14ac:dyDescent="0.25">
      <c r="C25" s="34"/>
    </row>
    <row r="26" spans="2:6" x14ac:dyDescent="0.25">
      <c r="C26" s="34"/>
    </row>
    <row r="27" spans="2:6" x14ac:dyDescent="0.25">
      <c r="C27" s="34"/>
    </row>
  </sheetData>
  <mergeCells count="2">
    <mergeCell ref="H2:I2"/>
    <mergeCell ref="H6:I6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2714-C6EC-4A22-A1DB-C0AD1907F986}">
  <dimension ref="A1:J27"/>
  <sheetViews>
    <sheetView showGridLines="0" topLeftCell="B1" workbookViewId="0">
      <selection activeCell="I3" sqref="I3"/>
    </sheetView>
  </sheetViews>
  <sheetFormatPr defaultColWidth="12.140625" defaultRowHeight="15.75" x14ac:dyDescent="0.25"/>
  <cols>
    <col min="1" max="1" width="12.140625" style="33"/>
    <col min="2" max="2" width="17.7109375" style="33" bestFit="1" customWidth="1"/>
    <col min="3" max="4" width="12.140625" style="33"/>
    <col min="5" max="5" width="13.28515625" style="33" bestFit="1" customWidth="1"/>
    <col min="6" max="6" width="12.7109375" style="33" bestFit="1" customWidth="1"/>
    <col min="7" max="7" width="7.85546875" style="33" customWidth="1"/>
    <col min="8" max="8" width="12.140625" style="33"/>
    <col min="9" max="9" width="14.140625" style="33" bestFit="1" customWidth="1"/>
    <col min="10" max="10" width="12.7109375" style="33" bestFit="1" customWidth="1"/>
    <col min="11" max="16384" width="12.140625" style="33"/>
  </cols>
  <sheetData>
    <row r="1" spans="1:10" x14ac:dyDescent="0.25">
      <c r="A1" s="33" t="s">
        <v>86</v>
      </c>
    </row>
    <row r="2" spans="1:10" x14ac:dyDescent="0.25">
      <c r="B2" s="37" t="s">
        <v>124</v>
      </c>
      <c r="C2" s="37" t="s">
        <v>127</v>
      </c>
      <c r="D2" s="37" t="s">
        <v>126</v>
      </c>
      <c r="E2" s="37" t="s">
        <v>125</v>
      </c>
      <c r="F2" s="37" t="s">
        <v>123</v>
      </c>
      <c r="H2" s="37" t="s">
        <v>124</v>
      </c>
      <c r="I2" s="37" t="s">
        <v>125</v>
      </c>
      <c r="J2" s="37" t="s">
        <v>123</v>
      </c>
    </row>
    <row r="3" spans="1:10" x14ac:dyDescent="0.25">
      <c r="B3" s="33" t="s">
        <v>122</v>
      </c>
      <c r="C3" s="41">
        <v>124300</v>
      </c>
      <c r="D3" s="40">
        <v>44754</v>
      </c>
      <c r="E3" s="39">
        <v>5436.33</v>
      </c>
      <c r="F3" s="39">
        <f t="shared" ref="F3:F24" si="0">E3*0.2</f>
        <v>1087.2660000000001</v>
      </c>
      <c r="H3" s="33" t="s">
        <v>118</v>
      </c>
      <c r="I3" s="35" cm="1">
        <f t="array" ref="I3:J3">_xlfn.XLOOKUP(H3,B3:B24,E3:F24)</f>
        <v>9181.7447866127968</v>
      </c>
      <c r="J3" s="35">
        <v>1836.3489573225595</v>
      </c>
    </row>
    <row r="4" spans="1:10" x14ac:dyDescent="0.25">
      <c r="B4" s="33" t="s">
        <v>121</v>
      </c>
      <c r="C4" s="41">
        <f>C3*1.2</f>
        <v>149160</v>
      </c>
      <c r="D4" s="40">
        <v>44751</v>
      </c>
      <c r="E4" s="39">
        <v>6197.4161999999997</v>
      </c>
      <c r="F4" s="39">
        <f t="shared" si="0"/>
        <v>1239.48324</v>
      </c>
    </row>
    <row r="5" spans="1:10" x14ac:dyDescent="0.25">
      <c r="B5" s="33" t="s">
        <v>120</v>
      </c>
      <c r="C5" s="41">
        <f>C4*1.02</f>
        <v>152143.20000000001</v>
      </c>
      <c r="D5" s="40">
        <v>44753</v>
      </c>
      <c r="E5" s="39">
        <v>7065.0544679999994</v>
      </c>
      <c r="F5" s="39">
        <f t="shared" si="0"/>
        <v>1413.0108935999999</v>
      </c>
    </row>
    <row r="6" spans="1:10" x14ac:dyDescent="0.25">
      <c r="B6" s="33" t="s">
        <v>119</v>
      </c>
      <c r="C6" s="41">
        <f>C5*0.8</f>
        <v>121714.56000000001</v>
      </c>
      <c r="D6" s="40">
        <v>44748</v>
      </c>
      <c r="E6" s="39">
        <v>8054.1620935199981</v>
      </c>
      <c r="F6" s="39">
        <f t="shared" si="0"/>
        <v>1610.8324187039998</v>
      </c>
    </row>
    <row r="7" spans="1:10" x14ac:dyDescent="0.25">
      <c r="B7" s="33" t="s">
        <v>118</v>
      </c>
      <c r="C7" s="41">
        <f>C6*0.9</f>
        <v>109543.10400000001</v>
      </c>
      <c r="D7" s="40">
        <v>44752</v>
      </c>
      <c r="E7" s="39">
        <v>9181.7447866127968</v>
      </c>
      <c r="F7" s="39">
        <f t="shared" si="0"/>
        <v>1836.3489573225595</v>
      </c>
    </row>
    <row r="8" spans="1:10" x14ac:dyDescent="0.25">
      <c r="B8" s="33" t="s">
        <v>117</v>
      </c>
      <c r="C8" s="41">
        <f>C7*1.1</f>
        <v>120497.41440000002</v>
      </c>
      <c r="D8" s="40">
        <v>44755</v>
      </c>
      <c r="E8" s="39">
        <v>10467.189056738587</v>
      </c>
      <c r="F8" s="39">
        <f t="shared" si="0"/>
        <v>2093.4378113477173</v>
      </c>
    </row>
    <row r="9" spans="1:10" x14ac:dyDescent="0.25">
      <c r="B9" s="33" t="s">
        <v>116</v>
      </c>
      <c r="C9" s="41">
        <f>C8*1.02</f>
        <v>122907.36268800002</v>
      </c>
      <c r="D9" s="40">
        <v>44757</v>
      </c>
      <c r="E9" s="39">
        <v>2446.3485000000001</v>
      </c>
      <c r="F9" s="39">
        <f t="shared" si="0"/>
        <v>489.26970000000006</v>
      </c>
    </row>
    <row r="10" spans="1:10" x14ac:dyDescent="0.25">
      <c r="B10" s="33" t="s">
        <v>115</v>
      </c>
      <c r="C10" s="41">
        <f>C9*0.8</f>
        <v>98325.890150400024</v>
      </c>
      <c r="D10" s="40">
        <v>44754</v>
      </c>
      <c r="E10" s="39">
        <v>2690.9833500000004</v>
      </c>
      <c r="F10" s="39">
        <f t="shared" si="0"/>
        <v>538.19667000000015</v>
      </c>
    </row>
    <row r="11" spans="1:10" x14ac:dyDescent="0.25">
      <c r="B11" s="33" t="s">
        <v>114</v>
      </c>
      <c r="C11" s="41">
        <f>C10*0.9</f>
        <v>88493.30113536003</v>
      </c>
      <c r="D11" s="40">
        <v>44756</v>
      </c>
      <c r="E11" s="39">
        <v>2960.0816850000001</v>
      </c>
      <c r="F11" s="39">
        <f t="shared" si="0"/>
        <v>592.01633700000002</v>
      </c>
    </row>
    <row r="12" spans="1:10" x14ac:dyDescent="0.25">
      <c r="B12" s="33" t="s">
        <v>113</v>
      </c>
      <c r="C12" s="41">
        <f>C11*1.1</f>
        <v>97342.631248896039</v>
      </c>
      <c r="D12" s="40">
        <v>44751</v>
      </c>
      <c r="E12" s="39">
        <v>3256.0898535000001</v>
      </c>
      <c r="F12" s="39">
        <f t="shared" si="0"/>
        <v>651.21797070000002</v>
      </c>
    </row>
    <row r="13" spans="1:10" x14ac:dyDescent="0.25">
      <c r="B13" s="33" t="s">
        <v>112</v>
      </c>
      <c r="C13" s="41">
        <f>C12*1.02</f>
        <v>99289.483873873964</v>
      </c>
      <c r="D13" s="40">
        <v>44755</v>
      </c>
      <c r="E13" s="39">
        <v>3581.6988388500008</v>
      </c>
      <c r="F13" s="39">
        <f t="shared" si="0"/>
        <v>716.33976777000021</v>
      </c>
    </row>
    <row r="14" spans="1:10" x14ac:dyDescent="0.25">
      <c r="B14" s="33" t="s">
        <v>111</v>
      </c>
      <c r="C14" s="41">
        <f>C13*0.8</f>
        <v>79431.587099099183</v>
      </c>
      <c r="D14" s="40">
        <v>44758</v>
      </c>
      <c r="E14" s="39">
        <v>3939.8687227350015</v>
      </c>
      <c r="F14" s="39">
        <f t="shared" si="0"/>
        <v>787.97374454700036</v>
      </c>
    </row>
    <row r="15" spans="1:10" x14ac:dyDescent="0.25">
      <c r="B15" s="33" t="s">
        <v>110</v>
      </c>
      <c r="C15" s="41">
        <f>C14*0.9</f>
        <v>71488.42838918927</v>
      </c>
      <c r="D15" s="40">
        <v>44760</v>
      </c>
      <c r="E15" s="39">
        <v>4333.855595008502</v>
      </c>
      <c r="F15" s="39">
        <f t="shared" si="0"/>
        <v>866.77111900170041</v>
      </c>
    </row>
    <row r="16" spans="1:10" x14ac:dyDescent="0.25">
      <c r="B16" s="33" t="s">
        <v>109</v>
      </c>
      <c r="C16" s="41">
        <f>C15*1.1</f>
        <v>78637.271228108206</v>
      </c>
      <c r="D16" s="40">
        <v>44757</v>
      </c>
      <c r="E16" s="39">
        <v>4767.2411545093528</v>
      </c>
      <c r="F16" s="39">
        <f t="shared" si="0"/>
        <v>953.4482309018706</v>
      </c>
    </row>
    <row r="17" spans="2:6" x14ac:dyDescent="0.25">
      <c r="B17" s="33" t="s">
        <v>108</v>
      </c>
      <c r="C17" s="41">
        <f>C16*1.02</f>
        <v>80210.016652670369</v>
      </c>
      <c r="D17" s="40">
        <v>44759</v>
      </c>
      <c r="E17" s="39">
        <v>5243.9652699602884</v>
      </c>
      <c r="F17" s="39">
        <f t="shared" si="0"/>
        <v>1048.7930539920578</v>
      </c>
    </row>
    <row r="18" spans="2:6" x14ac:dyDescent="0.25">
      <c r="B18" s="33" t="s">
        <v>107</v>
      </c>
      <c r="C18" s="41">
        <f>C17*0.8</f>
        <v>64168.013322136299</v>
      </c>
      <c r="D18" s="40">
        <v>44754</v>
      </c>
      <c r="E18" s="39">
        <v>5768.3617969563174</v>
      </c>
      <c r="F18" s="39">
        <f t="shared" si="0"/>
        <v>1153.6723593912636</v>
      </c>
    </row>
    <row r="19" spans="2:6" x14ac:dyDescent="0.25">
      <c r="B19" s="33" t="s">
        <v>106</v>
      </c>
      <c r="C19" s="41">
        <f>C18*0.9</f>
        <v>57751.211989922667</v>
      </c>
      <c r="D19" s="40">
        <v>44758</v>
      </c>
      <c r="E19" s="39">
        <v>5191.525617260686</v>
      </c>
      <c r="F19" s="39">
        <f t="shared" si="0"/>
        <v>1038.3051234521372</v>
      </c>
    </row>
    <row r="20" spans="2:6" x14ac:dyDescent="0.25">
      <c r="B20" s="33" t="s">
        <v>105</v>
      </c>
      <c r="C20" s="41">
        <f>C19*1.1</f>
        <v>63526.333188914941</v>
      </c>
      <c r="D20" s="40">
        <v>44761</v>
      </c>
      <c r="E20" s="39">
        <v>6748.9833024388909</v>
      </c>
      <c r="F20" s="39">
        <f t="shared" si="0"/>
        <v>1349.7966604877784</v>
      </c>
    </row>
    <row r="21" spans="2:6" x14ac:dyDescent="0.25">
      <c r="B21" s="33" t="s">
        <v>104</v>
      </c>
      <c r="C21" s="41">
        <f>C20*1.02</f>
        <v>64796.85985269324</v>
      </c>
      <c r="D21" s="40">
        <v>44763</v>
      </c>
      <c r="E21" s="39">
        <v>8773.6782931705584</v>
      </c>
      <c r="F21" s="39">
        <f t="shared" si="0"/>
        <v>1754.7356586341118</v>
      </c>
    </row>
    <row r="22" spans="2:6" x14ac:dyDescent="0.25">
      <c r="B22" s="33" t="s">
        <v>103</v>
      </c>
      <c r="C22" s="41">
        <f>C21*0.8</f>
        <v>51837.487882154594</v>
      </c>
      <c r="D22" s="40">
        <v>44760</v>
      </c>
      <c r="E22" s="39">
        <v>11405.781781121728</v>
      </c>
      <c r="F22" s="39">
        <f t="shared" si="0"/>
        <v>2281.1563562243459</v>
      </c>
    </row>
    <row r="23" spans="2:6" x14ac:dyDescent="0.25">
      <c r="B23" s="33" t="s">
        <v>102</v>
      </c>
      <c r="C23" s="41">
        <f>C22*0.9</f>
        <v>46653.739093939133</v>
      </c>
      <c r="D23" s="40">
        <v>44762</v>
      </c>
      <c r="E23" s="39">
        <v>6650</v>
      </c>
      <c r="F23" s="39">
        <f t="shared" si="0"/>
        <v>1330</v>
      </c>
    </row>
    <row r="24" spans="2:6" x14ac:dyDescent="0.25">
      <c r="B24" s="33" t="s">
        <v>101</v>
      </c>
      <c r="C24" s="41">
        <f>C23*1.1</f>
        <v>51319.113003333048</v>
      </c>
      <c r="D24" s="40">
        <v>44757</v>
      </c>
      <c r="E24" s="39">
        <v>7341</v>
      </c>
      <c r="F24" s="39">
        <f t="shared" si="0"/>
        <v>1468.2</v>
      </c>
    </row>
    <row r="25" spans="2:6" x14ac:dyDescent="0.25">
      <c r="D25" s="34"/>
    </row>
    <row r="26" spans="2:6" x14ac:dyDescent="0.25">
      <c r="D26" s="34"/>
    </row>
    <row r="27" spans="2:6" x14ac:dyDescent="0.25">
      <c r="D27" s="34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F01B-95C3-472B-BCB2-069936C57BA0}">
  <dimension ref="A1:I24"/>
  <sheetViews>
    <sheetView showGridLines="0" tabSelected="1" topLeftCell="B1" workbookViewId="0">
      <selection activeCell="I6" sqref="I6"/>
    </sheetView>
  </sheetViews>
  <sheetFormatPr defaultColWidth="12.140625" defaultRowHeight="15.75" x14ac:dyDescent="0.25"/>
  <cols>
    <col min="1" max="1" width="12.140625" style="33"/>
    <col min="2" max="2" width="19.5703125" style="33" customWidth="1"/>
    <col min="3" max="4" width="12.140625" style="33"/>
    <col min="5" max="5" width="13.28515625" style="33" bestFit="1" customWidth="1"/>
    <col min="6" max="6" width="12.7109375" style="33" bestFit="1" customWidth="1"/>
    <col min="7" max="7" width="7.85546875" style="33" customWidth="1"/>
    <col min="8" max="8" width="12.140625" style="33"/>
    <col min="9" max="9" width="25.5703125" style="33" customWidth="1"/>
    <col min="10" max="16384" width="12.140625" style="33"/>
  </cols>
  <sheetData>
    <row r="1" spans="1:9" x14ac:dyDescent="0.25">
      <c r="A1" s="33" t="s">
        <v>86</v>
      </c>
    </row>
    <row r="2" spans="1:9" x14ac:dyDescent="0.25">
      <c r="B2" s="37" t="s">
        <v>144</v>
      </c>
      <c r="C2" s="37" t="s">
        <v>127</v>
      </c>
      <c r="D2" s="37" t="s">
        <v>126</v>
      </c>
      <c r="E2" s="37" t="s">
        <v>125</v>
      </c>
      <c r="F2" s="37" t="s">
        <v>123</v>
      </c>
      <c r="H2" s="37" t="s">
        <v>143</v>
      </c>
      <c r="I2" s="37" t="s">
        <v>125</v>
      </c>
    </row>
    <row r="3" spans="1:9" ht="31.5" x14ac:dyDescent="0.25">
      <c r="B3" s="43" t="s">
        <v>142</v>
      </c>
      <c r="C3" s="41">
        <v>124300</v>
      </c>
      <c r="D3" s="40">
        <v>44754</v>
      </c>
      <c r="E3" s="39">
        <v>5436.33</v>
      </c>
      <c r="F3" s="39">
        <f t="shared" ref="F3:F14" si="0">E3*0.2</f>
        <v>1087.2660000000001</v>
      </c>
      <c r="H3" s="44" t="s">
        <v>141</v>
      </c>
      <c r="I3" s="48">
        <f>_xlfn.XLOOKUP(H3&amp;"*",B3:B14,E3:E14,"Not in the List",2)</f>
        <v>6197.4161999999997</v>
      </c>
    </row>
    <row r="4" spans="1:9" x14ac:dyDescent="0.25">
      <c r="B4" s="43" t="s">
        <v>140</v>
      </c>
      <c r="C4" s="41">
        <f>C3*1.2</f>
        <v>149160</v>
      </c>
      <c r="D4" s="40">
        <v>44751</v>
      </c>
      <c r="E4" s="39">
        <v>6197.4161999999997</v>
      </c>
      <c r="F4" s="39">
        <f t="shared" si="0"/>
        <v>1239.48324</v>
      </c>
      <c r="H4" s="44" t="s">
        <v>57</v>
      </c>
      <c r="I4" s="48">
        <f>_xlfn.XLOOKUP(H4&amp;"*",$B$4:$B$15,$E$4:$E$15,"Not in the List",2)</f>
        <v>8054.1620935199981</v>
      </c>
    </row>
    <row r="5" spans="1:9" x14ac:dyDescent="0.25">
      <c r="B5" s="43" t="s">
        <v>139</v>
      </c>
      <c r="C5" s="41">
        <f>C4*1.02</f>
        <v>152143.20000000001</v>
      </c>
      <c r="D5" s="40">
        <v>44753</v>
      </c>
      <c r="E5" s="39">
        <v>7065.0544679999994</v>
      </c>
      <c r="F5" s="39">
        <f t="shared" si="0"/>
        <v>1413.0108935999999</v>
      </c>
      <c r="H5" s="44" t="s">
        <v>150</v>
      </c>
      <c r="I5" s="48">
        <f>_xlfn.XLOOKUP(H5&amp;"*",$B$5:$B$16,$E$5:$E$16,"Not in the List",2)</f>
        <v>2960.0816850000001</v>
      </c>
    </row>
    <row r="6" spans="1:9" x14ac:dyDescent="0.25">
      <c r="B6" s="43" t="s">
        <v>138</v>
      </c>
      <c r="C6" s="41">
        <f>C5*0.8</f>
        <v>121714.56000000001</v>
      </c>
      <c r="D6" s="40">
        <v>44748</v>
      </c>
      <c r="E6" s="39">
        <v>8054.1620935199981</v>
      </c>
      <c r="F6" s="39">
        <f t="shared" si="0"/>
        <v>1610.8324187039998</v>
      </c>
    </row>
    <row r="7" spans="1:9" x14ac:dyDescent="0.25">
      <c r="B7" s="43" t="s">
        <v>137</v>
      </c>
      <c r="C7" s="41">
        <f>C6*0.9</f>
        <v>109543.10400000001</v>
      </c>
      <c r="D7" s="40">
        <v>44752</v>
      </c>
      <c r="E7" s="39">
        <v>9181.7447866127968</v>
      </c>
      <c r="F7" s="39">
        <f t="shared" si="0"/>
        <v>1836.3489573225595</v>
      </c>
    </row>
    <row r="8" spans="1:9" x14ac:dyDescent="0.25">
      <c r="B8" s="43" t="s">
        <v>136</v>
      </c>
      <c r="C8" s="41">
        <f>C7*1.1</f>
        <v>120497.41440000002</v>
      </c>
      <c r="D8" s="40">
        <v>44755</v>
      </c>
      <c r="E8" s="39">
        <v>10467.189056738587</v>
      </c>
      <c r="F8" s="39">
        <f t="shared" si="0"/>
        <v>2093.4378113477173</v>
      </c>
    </row>
    <row r="9" spans="1:9" x14ac:dyDescent="0.25">
      <c r="B9" s="43" t="s">
        <v>135</v>
      </c>
      <c r="C9" s="41">
        <f>C8*1.02</f>
        <v>122907.36268800002</v>
      </c>
      <c r="D9" s="40">
        <v>44757</v>
      </c>
      <c r="E9" s="39">
        <v>2446.3485000000001</v>
      </c>
      <c r="F9" s="39">
        <f t="shared" si="0"/>
        <v>489.26970000000006</v>
      </c>
    </row>
    <row r="10" spans="1:9" x14ac:dyDescent="0.25">
      <c r="B10" s="43" t="s">
        <v>134</v>
      </c>
      <c r="C10" s="41">
        <f>C9*0.8</f>
        <v>98325.890150400024</v>
      </c>
      <c r="D10" s="40">
        <v>44754</v>
      </c>
      <c r="E10" s="39">
        <v>2690.9833500000004</v>
      </c>
      <c r="F10" s="39">
        <f t="shared" si="0"/>
        <v>538.19667000000015</v>
      </c>
    </row>
    <row r="11" spans="1:9" x14ac:dyDescent="0.25">
      <c r="B11" s="43" t="s">
        <v>133</v>
      </c>
      <c r="C11" s="41">
        <f>C10*0.9</f>
        <v>88493.30113536003</v>
      </c>
      <c r="D11" s="40">
        <v>44756</v>
      </c>
      <c r="E11" s="39">
        <v>2960.0816850000001</v>
      </c>
      <c r="F11" s="39">
        <f t="shared" si="0"/>
        <v>592.01633700000002</v>
      </c>
    </row>
    <row r="12" spans="1:9" x14ac:dyDescent="0.25">
      <c r="B12" s="43" t="s">
        <v>132</v>
      </c>
      <c r="C12" s="41">
        <f>C11*1.1</f>
        <v>97342.631248896039</v>
      </c>
      <c r="D12" s="40">
        <v>44751</v>
      </c>
      <c r="E12" s="39">
        <v>3256.0898535000001</v>
      </c>
      <c r="F12" s="39">
        <f t="shared" si="0"/>
        <v>651.21797070000002</v>
      </c>
    </row>
    <row r="13" spans="1:9" x14ac:dyDescent="0.25">
      <c r="B13" s="43" t="s">
        <v>131</v>
      </c>
      <c r="C13" s="41">
        <f>C12*1.02</f>
        <v>99289.483873873964</v>
      </c>
      <c r="D13" s="40">
        <v>44755</v>
      </c>
      <c r="E13" s="39">
        <v>3581.6988388500008</v>
      </c>
      <c r="F13" s="39">
        <f t="shared" si="0"/>
        <v>716.33976777000021</v>
      </c>
    </row>
    <row r="14" spans="1:9" x14ac:dyDescent="0.25">
      <c r="B14" s="43" t="s">
        <v>130</v>
      </c>
      <c r="C14" s="41">
        <f>C13*0.8</f>
        <v>79431.587099099183</v>
      </c>
      <c r="D14" s="40">
        <v>44758</v>
      </c>
      <c r="E14" s="39">
        <v>3939.8687227350015</v>
      </c>
      <c r="F14" s="39">
        <f t="shared" si="0"/>
        <v>787.97374454700036</v>
      </c>
    </row>
    <row r="15" spans="1:9" x14ac:dyDescent="0.25">
      <c r="B15" s="43"/>
      <c r="C15" s="39"/>
      <c r="D15" s="39"/>
      <c r="E15" s="39"/>
      <c r="F15" s="39"/>
    </row>
    <row r="16" spans="1:9" x14ac:dyDescent="0.25">
      <c r="B16" s="43"/>
      <c r="C16" s="39"/>
      <c r="D16" s="39"/>
      <c r="E16" s="39"/>
      <c r="F16" s="39"/>
    </row>
    <row r="17" spans="2:6" x14ac:dyDescent="0.25">
      <c r="B17" s="43"/>
      <c r="C17" s="39"/>
      <c r="D17" s="39"/>
      <c r="E17" s="39"/>
      <c r="F17" s="39"/>
    </row>
    <row r="18" spans="2:6" x14ac:dyDescent="0.25">
      <c r="B18" s="43"/>
      <c r="C18" s="39"/>
      <c r="D18" s="39"/>
      <c r="E18" s="39"/>
      <c r="F18" s="39"/>
    </row>
    <row r="19" spans="2:6" x14ac:dyDescent="0.25">
      <c r="B19" s="43"/>
      <c r="C19" s="39"/>
      <c r="D19" s="39"/>
      <c r="E19" s="39"/>
      <c r="F19" s="39"/>
    </row>
    <row r="20" spans="2:6" x14ac:dyDescent="0.25">
      <c r="B20" s="43"/>
      <c r="C20" s="39"/>
      <c r="D20" s="39"/>
      <c r="E20" s="39"/>
      <c r="F20" s="39"/>
    </row>
    <row r="21" spans="2:6" x14ac:dyDescent="0.25">
      <c r="B21" s="43"/>
      <c r="C21" s="39"/>
      <c r="D21" s="39"/>
      <c r="E21" s="39"/>
      <c r="F21" s="39"/>
    </row>
    <row r="22" spans="2:6" x14ac:dyDescent="0.25">
      <c r="B22" s="43"/>
      <c r="C22" s="39"/>
      <c r="D22" s="39"/>
      <c r="E22" s="39"/>
      <c r="F22" s="39"/>
    </row>
    <row r="23" spans="2:6" x14ac:dyDescent="0.25">
      <c r="B23" s="43"/>
      <c r="C23" s="39"/>
      <c r="D23" s="39"/>
      <c r="E23" s="39"/>
      <c r="F23" s="39"/>
    </row>
    <row r="24" spans="2:6" x14ac:dyDescent="0.25">
      <c r="B24" s="43"/>
      <c r="C24" s="39"/>
      <c r="D24" s="39"/>
      <c r="E24" s="39"/>
      <c r="F24" s="39"/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A76A-6328-4FC0-92B0-475B9BA83C30}">
  <dimension ref="A1:J25"/>
  <sheetViews>
    <sheetView showGridLines="0" topLeftCell="B1" workbookViewId="0">
      <selection activeCell="J3" sqref="J3"/>
    </sheetView>
  </sheetViews>
  <sheetFormatPr defaultColWidth="12.140625" defaultRowHeight="15.75" x14ac:dyDescent="0.25"/>
  <cols>
    <col min="1" max="1" width="12.140625" style="33"/>
    <col min="2" max="2" width="17.7109375" style="33" bestFit="1" customWidth="1"/>
    <col min="3" max="4" width="12.140625" style="33"/>
    <col min="5" max="5" width="13.28515625" style="33" bestFit="1" customWidth="1"/>
    <col min="6" max="6" width="12.7109375" style="33" bestFit="1" customWidth="1"/>
    <col min="7" max="7" width="7.85546875" style="33" customWidth="1"/>
    <col min="8" max="8" width="12.140625" style="33"/>
    <col min="9" max="9" width="14.140625" style="33" bestFit="1" customWidth="1"/>
    <col min="10" max="10" width="12.7109375" style="33" bestFit="1" customWidth="1"/>
    <col min="11" max="16384" width="12.140625" style="33"/>
  </cols>
  <sheetData>
    <row r="1" spans="1:10" x14ac:dyDescent="0.25">
      <c r="A1" s="33" t="s">
        <v>86</v>
      </c>
    </row>
    <row r="2" spans="1:10" x14ac:dyDescent="0.25">
      <c r="B2" s="51" t="s">
        <v>147</v>
      </c>
      <c r="C2" s="51"/>
      <c r="D2" s="51"/>
      <c r="E2" s="51"/>
      <c r="F2" s="51"/>
      <c r="H2" s="37" t="s">
        <v>124</v>
      </c>
      <c r="I2" s="37" t="s">
        <v>146</v>
      </c>
      <c r="J2" s="37" t="s">
        <v>123</v>
      </c>
    </row>
    <row r="3" spans="1:10" x14ac:dyDescent="0.25">
      <c r="B3" s="46" t="s">
        <v>145</v>
      </c>
      <c r="C3" s="45">
        <v>2019</v>
      </c>
      <c r="D3" s="45">
        <v>2020</v>
      </c>
      <c r="E3" s="45">
        <f>D3+1</f>
        <v>2021</v>
      </c>
      <c r="F3" s="45">
        <f>E3+1</f>
        <v>2022</v>
      </c>
      <c r="H3" s="44" t="s">
        <v>121</v>
      </c>
      <c r="I3" s="44">
        <v>2020</v>
      </c>
      <c r="J3" s="39" cm="1">
        <f t="array" ref="J3">_xlfn.XLOOKUP(H3,B4:B25,_xlfn.XLOOKUP(I3,C3:F3,C4:F25))</f>
        <v>1425.405726</v>
      </c>
    </row>
    <row r="4" spans="1:10" x14ac:dyDescent="0.25">
      <c r="B4" s="43" t="s">
        <v>122</v>
      </c>
      <c r="C4" s="39">
        <v>1087.2660000000001</v>
      </c>
      <c r="D4" s="39">
        <v>1250.3559</v>
      </c>
      <c r="E4" s="39">
        <v>1187.838105</v>
      </c>
      <c r="F4" s="39">
        <v>1413.52734495</v>
      </c>
    </row>
    <row r="5" spans="1:10" x14ac:dyDescent="0.25">
      <c r="B5" s="43" t="s">
        <v>121</v>
      </c>
      <c r="C5" s="39">
        <v>1239.48324</v>
      </c>
      <c r="D5" s="39">
        <v>1425.405726</v>
      </c>
      <c r="E5" s="39">
        <v>1354.1354397</v>
      </c>
      <c r="F5" s="39">
        <v>1611.4211732429999</v>
      </c>
    </row>
    <row r="6" spans="1:10" x14ac:dyDescent="0.25">
      <c r="B6" s="43" t="s">
        <v>120</v>
      </c>
      <c r="C6" s="39">
        <v>1413.0108935999999</v>
      </c>
      <c r="D6" s="39">
        <v>1624.9625276399997</v>
      </c>
      <c r="E6" s="39">
        <v>1543.7144012579997</v>
      </c>
      <c r="F6" s="39">
        <v>1837.0201374970195</v>
      </c>
    </row>
    <row r="7" spans="1:10" x14ac:dyDescent="0.25">
      <c r="B7" s="43" t="s">
        <v>119</v>
      </c>
      <c r="C7" s="39">
        <v>1610.8324187039998</v>
      </c>
      <c r="D7" s="39">
        <v>1852.4572815095996</v>
      </c>
      <c r="E7" s="39">
        <v>1759.8344174341196</v>
      </c>
      <c r="F7" s="39">
        <v>2094.202956746602</v>
      </c>
    </row>
    <row r="8" spans="1:10" x14ac:dyDescent="0.25">
      <c r="B8" s="43" t="s">
        <v>118</v>
      </c>
      <c r="C8" s="39">
        <v>1836.3489573225595</v>
      </c>
      <c r="D8" s="39">
        <v>2111.801300920943</v>
      </c>
      <c r="E8" s="39">
        <v>2006.2112358748957</v>
      </c>
      <c r="F8" s="39">
        <v>2387.3913706911258</v>
      </c>
    </row>
    <row r="9" spans="1:10" x14ac:dyDescent="0.25">
      <c r="B9" s="43" t="s">
        <v>117</v>
      </c>
      <c r="C9" s="39">
        <v>2093.4378113477173</v>
      </c>
      <c r="D9" s="39">
        <v>2407.4534830498746</v>
      </c>
      <c r="E9" s="39">
        <v>2287.0808088973808</v>
      </c>
      <c r="F9" s="39">
        <v>2721.6261625878833</v>
      </c>
    </row>
    <row r="10" spans="1:10" x14ac:dyDescent="0.25">
      <c r="B10" s="43" t="s">
        <v>116</v>
      </c>
      <c r="C10" s="39">
        <v>489.26970000000006</v>
      </c>
      <c r="D10" s="39">
        <v>562.66015500000003</v>
      </c>
      <c r="E10" s="39">
        <v>534.52714724999998</v>
      </c>
      <c r="F10" s="39">
        <v>636.0873052275</v>
      </c>
    </row>
    <row r="11" spans="1:10" x14ac:dyDescent="0.25">
      <c r="B11" s="43" t="s">
        <v>115</v>
      </c>
      <c r="C11" s="39">
        <v>538.19667000000015</v>
      </c>
      <c r="D11" s="39">
        <v>618.92617050000013</v>
      </c>
      <c r="E11" s="39">
        <v>587.97986197500006</v>
      </c>
      <c r="F11" s="39">
        <v>699.69603575025008</v>
      </c>
    </row>
    <row r="12" spans="1:10" x14ac:dyDescent="0.25">
      <c r="B12" s="43" t="s">
        <v>114</v>
      </c>
      <c r="C12" s="39">
        <v>592.01633700000002</v>
      </c>
      <c r="D12" s="39">
        <v>680.81878755000002</v>
      </c>
      <c r="E12" s="39">
        <v>646.77784817249994</v>
      </c>
      <c r="F12" s="39">
        <v>769.66563932527492</v>
      </c>
    </row>
    <row r="13" spans="1:10" x14ac:dyDescent="0.25">
      <c r="B13" s="43" t="s">
        <v>113</v>
      </c>
      <c r="C13" s="39">
        <v>651.21797070000002</v>
      </c>
      <c r="D13" s="39">
        <v>748.90066630499996</v>
      </c>
      <c r="E13" s="39">
        <v>711.45563298974992</v>
      </c>
      <c r="F13" s="39">
        <v>846.63220325780242</v>
      </c>
    </row>
    <row r="14" spans="1:10" x14ac:dyDescent="0.25">
      <c r="B14" s="43" t="s">
        <v>112</v>
      </c>
      <c r="C14" s="39">
        <v>716.33976777000021</v>
      </c>
      <c r="D14" s="39">
        <v>823.79073293550016</v>
      </c>
      <c r="E14" s="39">
        <v>782.60119628872508</v>
      </c>
      <c r="F14" s="39">
        <v>931.29542358358276</v>
      </c>
    </row>
    <row r="15" spans="1:10" x14ac:dyDescent="0.25">
      <c r="B15" s="43" t="s">
        <v>111</v>
      </c>
      <c r="C15" s="39">
        <v>787.97374454700036</v>
      </c>
      <c r="D15" s="39">
        <v>906.16980622905032</v>
      </c>
      <c r="E15" s="39">
        <v>860.86131591759772</v>
      </c>
      <c r="F15" s="39">
        <v>1024.4249659419413</v>
      </c>
    </row>
    <row r="16" spans="1:10" x14ac:dyDescent="0.25">
      <c r="B16" s="43" t="s">
        <v>110</v>
      </c>
      <c r="C16" s="39">
        <v>866.77111900170041</v>
      </c>
      <c r="D16" s="39">
        <v>996.78678685195541</v>
      </c>
      <c r="E16" s="39">
        <v>946.94744750935763</v>
      </c>
      <c r="F16" s="39">
        <v>1126.8674625361355</v>
      </c>
    </row>
    <row r="17" spans="2:6" x14ac:dyDescent="0.25">
      <c r="B17" s="43" t="s">
        <v>109</v>
      </c>
      <c r="C17" s="39">
        <v>953.4482309018706</v>
      </c>
      <c r="D17" s="39">
        <v>1096.4654655371512</v>
      </c>
      <c r="E17" s="39">
        <v>1041.6421922602935</v>
      </c>
      <c r="F17" s="39">
        <v>1239.5542087897493</v>
      </c>
    </row>
    <row r="18" spans="2:6" x14ac:dyDescent="0.25">
      <c r="B18" s="43" t="s">
        <v>108</v>
      </c>
      <c r="C18" s="39">
        <v>1048.7930539920578</v>
      </c>
      <c r="D18" s="39">
        <v>1206.1120120908663</v>
      </c>
      <c r="E18" s="39">
        <v>1145.806411486323</v>
      </c>
      <c r="F18" s="39">
        <v>1363.5096296687243</v>
      </c>
    </row>
    <row r="19" spans="2:6" x14ac:dyDescent="0.25">
      <c r="B19" s="43" t="s">
        <v>107</v>
      </c>
      <c r="C19" s="39">
        <v>1153.6723593912636</v>
      </c>
      <c r="D19" s="39">
        <v>1326.7232132999532</v>
      </c>
      <c r="E19" s="39">
        <v>1260.3870526349554</v>
      </c>
      <c r="F19" s="39">
        <v>1499.8605926355967</v>
      </c>
    </row>
    <row r="20" spans="2:6" x14ac:dyDescent="0.25">
      <c r="B20" s="43" t="s">
        <v>106</v>
      </c>
      <c r="C20" s="39">
        <v>1038.3051234521372</v>
      </c>
      <c r="D20" s="39">
        <v>1194.0508919699578</v>
      </c>
      <c r="E20" s="39">
        <v>1134.3483473714598</v>
      </c>
      <c r="F20" s="39">
        <v>1349.8745333720371</v>
      </c>
    </row>
    <row r="21" spans="2:6" x14ac:dyDescent="0.25">
      <c r="B21" s="43" t="s">
        <v>105</v>
      </c>
      <c r="C21" s="39">
        <v>1349.7966604877784</v>
      </c>
      <c r="D21" s="39">
        <v>1552.266159560945</v>
      </c>
      <c r="E21" s="39">
        <v>1474.6528515828977</v>
      </c>
      <c r="F21" s="39">
        <v>1754.8368933836482</v>
      </c>
    </row>
    <row r="22" spans="2:6" x14ac:dyDescent="0.25">
      <c r="B22" s="43" t="s">
        <v>104</v>
      </c>
      <c r="C22" s="39">
        <v>1754.7356586341118</v>
      </c>
      <c r="D22" s="39">
        <v>2017.9460074292285</v>
      </c>
      <c r="E22" s="39">
        <v>1917.0487070577669</v>
      </c>
      <c r="F22" s="39">
        <v>2281.2879613987425</v>
      </c>
    </row>
    <row r="23" spans="2:6" x14ac:dyDescent="0.25">
      <c r="B23" s="43" t="s">
        <v>103</v>
      </c>
      <c r="C23" s="39">
        <v>2281.1563562243459</v>
      </c>
      <c r="D23" s="39">
        <v>2623.3298096579974</v>
      </c>
      <c r="E23" s="39">
        <v>2492.1633191750975</v>
      </c>
      <c r="F23" s="39">
        <v>2965.674349818366</v>
      </c>
    </row>
    <row r="24" spans="2:6" x14ac:dyDescent="0.25">
      <c r="B24" s="43" t="s">
        <v>102</v>
      </c>
      <c r="C24" s="39">
        <v>1330</v>
      </c>
      <c r="D24" s="39">
        <v>1529.4999999999998</v>
      </c>
      <c r="E24" s="39">
        <v>1453.0249999999996</v>
      </c>
      <c r="F24" s="39">
        <v>1729.0997499999994</v>
      </c>
    </row>
    <row r="25" spans="2:6" x14ac:dyDescent="0.25">
      <c r="B25" s="43" t="s">
        <v>101</v>
      </c>
      <c r="C25" s="39">
        <v>1468.2</v>
      </c>
      <c r="D25" s="39">
        <v>1688.4299999999998</v>
      </c>
      <c r="E25" s="39">
        <v>1604.0084999999997</v>
      </c>
      <c r="F25" s="39">
        <v>1908.7701149999996</v>
      </c>
    </row>
  </sheetData>
  <mergeCells count="1">
    <mergeCell ref="B2:F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C7B2-5F4B-499A-BDCA-C3146EF75EC4}">
  <dimension ref="A1:K25"/>
  <sheetViews>
    <sheetView showGridLines="0" topLeftCell="B1" workbookViewId="0">
      <selection activeCell="F3" sqref="F3"/>
    </sheetView>
  </sheetViews>
  <sheetFormatPr defaultColWidth="12.140625" defaultRowHeight="15.75" x14ac:dyDescent="0.25"/>
  <cols>
    <col min="1" max="1" width="12.140625" style="33"/>
    <col min="2" max="2" width="17.7109375" style="33" bestFit="1" customWidth="1"/>
    <col min="3" max="4" width="12.140625" style="33"/>
    <col min="5" max="5" width="13.28515625" style="33" bestFit="1" customWidth="1"/>
    <col min="6" max="6" width="12.7109375" style="33" bestFit="1" customWidth="1"/>
    <col min="7" max="7" width="7.85546875" style="33" customWidth="1"/>
    <col min="8" max="8" width="12.140625" style="33"/>
    <col min="9" max="9" width="14.140625" style="33" bestFit="1" customWidth="1"/>
    <col min="10" max="10" width="12.7109375" style="33" bestFit="1" customWidth="1"/>
    <col min="11" max="16384" width="12.140625" style="33"/>
  </cols>
  <sheetData>
    <row r="1" spans="1:11" x14ac:dyDescent="0.25">
      <c r="A1" s="33" t="s">
        <v>86</v>
      </c>
    </row>
    <row r="2" spans="1:11" x14ac:dyDescent="0.25">
      <c r="B2" s="51" t="s">
        <v>147</v>
      </c>
      <c r="C2" s="51"/>
      <c r="D2" s="51"/>
      <c r="E2" s="51"/>
      <c r="F2" s="51"/>
      <c r="H2" s="51" t="s">
        <v>128</v>
      </c>
      <c r="I2" s="51"/>
      <c r="J2" s="51"/>
    </row>
    <row r="3" spans="1:11" x14ac:dyDescent="0.25">
      <c r="B3" s="46" t="s">
        <v>145</v>
      </c>
      <c r="C3" s="45">
        <v>2019</v>
      </c>
      <c r="D3" s="45">
        <v>2020</v>
      </c>
      <c r="E3" s="45">
        <f>D3+1</f>
        <v>2021</v>
      </c>
      <c r="F3" s="45">
        <f>E3+1</f>
        <v>2022</v>
      </c>
      <c r="H3" s="45" t="s">
        <v>124</v>
      </c>
      <c r="I3" s="45" t="s">
        <v>146</v>
      </c>
      <c r="J3" s="45" t="s">
        <v>123</v>
      </c>
    </row>
    <row r="4" spans="1:11" x14ac:dyDescent="0.25">
      <c r="B4" s="33" t="s">
        <v>121</v>
      </c>
      <c r="C4" s="39">
        <v>1087.2660000000001</v>
      </c>
      <c r="D4" s="39">
        <v>1250.3559</v>
      </c>
      <c r="E4" s="39">
        <v>1187.838105</v>
      </c>
      <c r="F4" s="39">
        <v>1413.52734495</v>
      </c>
      <c r="H4" s="44" t="s">
        <v>121</v>
      </c>
      <c r="I4" s="44">
        <v>2019</v>
      </c>
      <c r="J4" s="39" cm="1">
        <f t="array" ref="J4">_xlfn.XLOOKUP(H4,B4:B25,_xlfn.XLOOKUP(I4,C3:F3,C4:F25))</f>
        <v>1087.2660000000001</v>
      </c>
    </row>
    <row r="5" spans="1:11" x14ac:dyDescent="0.25">
      <c r="B5" s="33" t="s">
        <v>121</v>
      </c>
      <c r="C5" s="39">
        <v>1239.48324</v>
      </c>
      <c r="D5" s="39">
        <v>1425.405726</v>
      </c>
      <c r="E5" s="39">
        <v>1354.1354397</v>
      </c>
      <c r="F5" s="39">
        <v>1611.4211732429999</v>
      </c>
    </row>
    <row r="6" spans="1:11" x14ac:dyDescent="0.25">
      <c r="B6" s="33" t="s">
        <v>121</v>
      </c>
      <c r="C6" s="39">
        <v>1413.0108935999999</v>
      </c>
      <c r="D6" s="39">
        <v>1624.9625276399997</v>
      </c>
      <c r="E6" s="39">
        <v>1543.7144012579997</v>
      </c>
      <c r="F6" s="39">
        <v>1837.0201374970195</v>
      </c>
      <c r="H6" s="51" t="s">
        <v>148</v>
      </c>
      <c r="I6" s="51"/>
      <c r="J6" s="51"/>
    </row>
    <row r="7" spans="1:11" x14ac:dyDescent="0.25">
      <c r="B7" s="33" t="s">
        <v>121</v>
      </c>
      <c r="C7" s="39">
        <v>1610.8324187039998</v>
      </c>
      <c r="D7" s="39">
        <v>1852.4572815095996</v>
      </c>
      <c r="E7" s="39">
        <v>1759.8344174341196</v>
      </c>
      <c r="F7" s="39">
        <v>2094.202956746602</v>
      </c>
      <c r="H7" s="45" t="s">
        <v>124</v>
      </c>
      <c r="I7" s="45" t="s">
        <v>146</v>
      </c>
      <c r="J7" s="45" t="s">
        <v>123</v>
      </c>
    </row>
    <row r="8" spans="1:11" x14ac:dyDescent="0.25">
      <c r="B8" s="33" t="s">
        <v>120</v>
      </c>
      <c r="C8" s="39">
        <v>1836.3489573225595</v>
      </c>
      <c r="D8" s="39">
        <v>2111.801300920943</v>
      </c>
      <c r="E8" s="39">
        <v>2006.2112358748957</v>
      </c>
      <c r="F8" s="39">
        <v>2387.3913706911258</v>
      </c>
      <c r="H8" s="44" t="s">
        <v>121</v>
      </c>
      <c r="I8" s="44">
        <v>2019</v>
      </c>
      <c r="J8" s="39" cm="1">
        <f t="array" ref="J8">SUM(_xlfn._xlws.FILTER(_xlfn._xlws.FILTER(C4:F25,B4:B25=H8),C3:F3=I8))</f>
        <v>5350.5925523039996</v>
      </c>
      <c r="K8" s="47"/>
    </row>
    <row r="9" spans="1:11" x14ac:dyDescent="0.25">
      <c r="B9" s="33" t="s">
        <v>117</v>
      </c>
      <c r="C9" s="39">
        <v>2093.4378113477173</v>
      </c>
      <c r="D9" s="39">
        <v>2407.4534830498746</v>
      </c>
      <c r="E9" s="39">
        <v>2287.0808088973808</v>
      </c>
      <c r="F9" s="39">
        <v>2721.6261625878833</v>
      </c>
    </row>
    <row r="10" spans="1:11" x14ac:dyDescent="0.25">
      <c r="B10" s="33" t="s">
        <v>117</v>
      </c>
      <c r="C10" s="39">
        <v>489.26970000000006</v>
      </c>
      <c r="D10" s="39">
        <v>562.66015500000003</v>
      </c>
      <c r="E10" s="39">
        <v>534.52714724999998</v>
      </c>
      <c r="F10" s="39">
        <v>636.0873052275</v>
      </c>
    </row>
    <row r="11" spans="1:11" x14ac:dyDescent="0.25">
      <c r="B11" s="33" t="s">
        <v>117</v>
      </c>
      <c r="C11" s="39">
        <v>538.19667000000015</v>
      </c>
      <c r="D11" s="39">
        <v>618.92617050000013</v>
      </c>
      <c r="E11" s="39">
        <v>587.97986197500006</v>
      </c>
      <c r="F11" s="39">
        <v>699.69603575025008</v>
      </c>
    </row>
    <row r="12" spans="1:11" x14ac:dyDescent="0.25">
      <c r="B12" s="33" t="s">
        <v>114</v>
      </c>
      <c r="C12" s="39">
        <v>592.01633700000002</v>
      </c>
      <c r="D12" s="39">
        <v>680.81878755000002</v>
      </c>
      <c r="E12" s="39">
        <v>646.77784817249994</v>
      </c>
      <c r="F12" s="39">
        <v>769.66563932527492</v>
      </c>
    </row>
    <row r="13" spans="1:11" x14ac:dyDescent="0.25">
      <c r="B13" s="33" t="s">
        <v>113</v>
      </c>
      <c r="C13" s="39">
        <v>651.21797070000002</v>
      </c>
      <c r="D13" s="39">
        <v>748.90066630499996</v>
      </c>
      <c r="E13" s="39">
        <v>711.45563298974992</v>
      </c>
      <c r="F13" s="39">
        <v>846.63220325780242</v>
      </c>
      <c r="H13" s="49" t="s">
        <v>151</v>
      </c>
    </row>
    <row r="14" spans="1:11" x14ac:dyDescent="0.25">
      <c r="B14" s="33" t="s">
        <v>113</v>
      </c>
      <c r="C14" s="39">
        <v>716.33976777000021</v>
      </c>
      <c r="D14" s="39">
        <v>823.79073293550016</v>
      </c>
      <c r="E14" s="39">
        <v>782.60119628872508</v>
      </c>
      <c r="F14" s="39">
        <v>931.29542358358276</v>
      </c>
      <c r="H14" s="33" t="s">
        <v>152</v>
      </c>
    </row>
    <row r="15" spans="1:11" x14ac:dyDescent="0.25">
      <c r="B15" s="33" t="s">
        <v>113</v>
      </c>
      <c r="C15" s="39">
        <v>787.97374454700036</v>
      </c>
      <c r="D15" s="39">
        <v>906.16980622905032</v>
      </c>
      <c r="E15" s="39">
        <v>860.86131591759772</v>
      </c>
      <c r="F15" s="39">
        <v>1024.4249659419413</v>
      </c>
      <c r="H15" s="33" t="s">
        <v>153</v>
      </c>
    </row>
    <row r="16" spans="1:11" x14ac:dyDescent="0.25">
      <c r="B16" s="33" t="s">
        <v>113</v>
      </c>
      <c r="C16" s="39">
        <v>866.77111900170041</v>
      </c>
      <c r="D16" s="39">
        <v>996.78678685195541</v>
      </c>
      <c r="E16" s="39">
        <v>946.94744750935763</v>
      </c>
      <c r="F16" s="39">
        <v>1126.8674625361355</v>
      </c>
      <c r="H16" s="50" t="s">
        <v>154</v>
      </c>
    </row>
    <row r="17" spans="2:6" x14ac:dyDescent="0.25">
      <c r="B17" s="33" t="s">
        <v>113</v>
      </c>
      <c r="C17" s="39">
        <v>953.4482309018706</v>
      </c>
      <c r="D17" s="39">
        <v>1096.4654655371512</v>
      </c>
      <c r="E17" s="39">
        <v>1041.6421922602935</v>
      </c>
      <c r="F17" s="39">
        <v>1239.5542087897493</v>
      </c>
    </row>
    <row r="18" spans="2:6" x14ac:dyDescent="0.25">
      <c r="B18" s="33" t="s">
        <v>113</v>
      </c>
      <c r="C18" s="39">
        <v>1048.7930539920578</v>
      </c>
      <c r="D18" s="39">
        <v>1206.1120120908663</v>
      </c>
      <c r="E18" s="39">
        <v>1145.806411486323</v>
      </c>
      <c r="F18" s="39">
        <v>1363.5096296687243</v>
      </c>
    </row>
    <row r="19" spans="2:6" x14ac:dyDescent="0.25">
      <c r="B19" s="33" t="s">
        <v>107</v>
      </c>
      <c r="C19" s="39">
        <v>1153.6723593912636</v>
      </c>
      <c r="D19" s="39">
        <v>1326.7232132999532</v>
      </c>
      <c r="E19" s="39">
        <v>1260.3870526349554</v>
      </c>
      <c r="F19" s="39">
        <v>1499.8605926355967</v>
      </c>
    </row>
    <row r="20" spans="2:6" x14ac:dyDescent="0.25">
      <c r="B20" s="33" t="s">
        <v>107</v>
      </c>
      <c r="C20" s="39">
        <v>1038.3051234521372</v>
      </c>
      <c r="D20" s="39">
        <v>1194.0508919699578</v>
      </c>
      <c r="E20" s="39">
        <v>1134.3483473714598</v>
      </c>
      <c r="F20" s="39">
        <v>1349.8745333720371</v>
      </c>
    </row>
    <row r="21" spans="2:6" x14ac:dyDescent="0.25">
      <c r="B21" s="33" t="s">
        <v>107</v>
      </c>
      <c r="C21" s="39">
        <v>1349.7966604877784</v>
      </c>
      <c r="D21" s="39">
        <v>1552.266159560945</v>
      </c>
      <c r="E21" s="39">
        <v>1474.6528515828977</v>
      </c>
      <c r="F21" s="39">
        <v>1754.8368933836482</v>
      </c>
    </row>
    <row r="22" spans="2:6" x14ac:dyDescent="0.25">
      <c r="B22" s="33" t="s">
        <v>107</v>
      </c>
      <c r="C22" s="39">
        <v>1754.7356586341118</v>
      </c>
      <c r="D22" s="39">
        <v>2017.9460074292285</v>
      </c>
      <c r="E22" s="39">
        <v>1917.0487070577669</v>
      </c>
      <c r="F22" s="39">
        <v>2281.2879613987425</v>
      </c>
    </row>
    <row r="23" spans="2:6" x14ac:dyDescent="0.25">
      <c r="B23" s="33" t="s">
        <v>107</v>
      </c>
      <c r="C23" s="39">
        <v>2281.1563562243459</v>
      </c>
      <c r="D23" s="39">
        <v>2623.3298096579974</v>
      </c>
      <c r="E23" s="39">
        <v>2492.1633191750975</v>
      </c>
      <c r="F23" s="39">
        <v>2965.674349818366</v>
      </c>
    </row>
    <row r="24" spans="2:6" x14ac:dyDescent="0.25">
      <c r="B24" s="33" t="s">
        <v>107</v>
      </c>
      <c r="C24" s="39">
        <v>1330</v>
      </c>
      <c r="D24" s="39">
        <v>1529.4999999999998</v>
      </c>
      <c r="E24" s="39">
        <v>1453.0249999999996</v>
      </c>
      <c r="F24" s="39">
        <v>1729.0997499999994</v>
      </c>
    </row>
    <row r="25" spans="2:6" x14ac:dyDescent="0.25">
      <c r="B25" s="33" t="s">
        <v>107</v>
      </c>
      <c r="C25" s="39">
        <v>1468.2</v>
      </c>
      <c r="D25" s="39">
        <v>1688.4299999999998</v>
      </c>
      <c r="E25" s="39">
        <v>1604.0084999999997</v>
      </c>
      <c r="F25" s="39">
        <v>1908.7701149999996</v>
      </c>
    </row>
  </sheetData>
  <mergeCells count="3">
    <mergeCell ref="B2:F2"/>
    <mergeCell ref="H2:J2"/>
    <mergeCell ref="H6:J6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C15" sqref="C15"/>
    </sheetView>
  </sheetViews>
  <sheetFormatPr defaultRowHeight="15" x14ac:dyDescent="0.25"/>
  <cols>
    <col min="1" max="1" width="12.85546875" bestFit="1" customWidth="1"/>
    <col min="2" max="2" width="10" bestFit="1" customWidth="1"/>
    <col min="3" max="3" width="10.140625" bestFit="1" customWidth="1"/>
    <col min="5" max="5" width="14.28515625" customWidth="1"/>
  </cols>
  <sheetData>
    <row r="1" spans="1:7" ht="15.75" x14ac:dyDescent="0.25">
      <c r="A1" s="5" t="s">
        <v>0</v>
      </c>
      <c r="B1" s="5" t="s">
        <v>1</v>
      </c>
      <c r="C1" s="5" t="s">
        <v>2</v>
      </c>
      <c r="E1" s="52" t="s">
        <v>3</v>
      </c>
      <c r="F1" s="52"/>
      <c r="G1" s="2"/>
    </row>
    <row r="2" spans="1:7" ht="15.75" x14ac:dyDescent="0.25">
      <c r="A2" s="11" t="s">
        <v>4</v>
      </c>
      <c r="B2" s="11" t="s">
        <v>5</v>
      </c>
      <c r="C2" s="20">
        <v>86</v>
      </c>
      <c r="E2" s="3" t="s">
        <v>6</v>
      </c>
      <c r="F2" s="4">
        <f>_xlfn.XLOOKUP(E2,A2:A11,C2:C11)</f>
        <v>52</v>
      </c>
    </row>
    <row r="3" spans="1:7" ht="15.75" x14ac:dyDescent="0.25">
      <c r="A3" s="11" t="s">
        <v>7</v>
      </c>
      <c r="B3" s="11" t="s">
        <v>8</v>
      </c>
      <c r="C3" s="20">
        <v>91</v>
      </c>
    </row>
    <row r="4" spans="1:7" ht="15.75" x14ac:dyDescent="0.25">
      <c r="A4" s="11" t="s">
        <v>9</v>
      </c>
      <c r="B4" s="11" t="s">
        <v>10</v>
      </c>
      <c r="C4" s="20">
        <v>1</v>
      </c>
    </row>
    <row r="5" spans="1:7" ht="15.75" x14ac:dyDescent="0.25">
      <c r="A5" s="11" t="s">
        <v>11</v>
      </c>
      <c r="B5" s="11" t="s">
        <v>12</v>
      </c>
      <c r="C5" s="20">
        <v>62</v>
      </c>
    </row>
    <row r="6" spans="1:7" ht="15.75" x14ac:dyDescent="0.25">
      <c r="A6" s="11" t="s">
        <v>13</v>
      </c>
      <c r="B6" s="11" t="s">
        <v>14</v>
      </c>
      <c r="C6" s="20">
        <v>55</v>
      </c>
    </row>
    <row r="7" spans="1:7" ht="15.75" x14ac:dyDescent="0.25">
      <c r="A7" s="11" t="s">
        <v>15</v>
      </c>
      <c r="B7" s="11" t="s">
        <v>16</v>
      </c>
      <c r="C7" s="20">
        <v>92</v>
      </c>
    </row>
    <row r="8" spans="1:7" ht="15.75" x14ac:dyDescent="0.25">
      <c r="A8" s="11" t="s">
        <v>96</v>
      </c>
      <c r="B8" s="11" t="s">
        <v>17</v>
      </c>
      <c r="C8" s="20">
        <v>92</v>
      </c>
    </row>
    <row r="9" spans="1:7" ht="15.75" x14ac:dyDescent="0.25">
      <c r="A9" s="11" t="s">
        <v>18</v>
      </c>
      <c r="B9" s="11" t="s">
        <v>19</v>
      </c>
      <c r="C9" s="20">
        <v>880</v>
      </c>
    </row>
    <row r="10" spans="1:7" ht="15.75" x14ac:dyDescent="0.25">
      <c r="A10" s="11" t="s">
        <v>20</v>
      </c>
      <c r="B10" s="11" t="s">
        <v>21</v>
      </c>
      <c r="C10" s="20">
        <v>7</v>
      </c>
    </row>
    <row r="11" spans="1:7" ht="15.75" x14ac:dyDescent="0.25">
      <c r="A11" s="11" t="s">
        <v>6</v>
      </c>
      <c r="B11" s="11" t="s">
        <v>22</v>
      </c>
      <c r="C11" s="20">
        <v>52</v>
      </c>
    </row>
    <row r="13" spans="1:7" x14ac:dyDescent="0.25">
      <c r="C13" t="str">
        <f>_xlfn.TEXTJOIN(" - ",TRUE,A2,B2)</f>
        <v>China - CN</v>
      </c>
    </row>
    <row r="15" spans="1:7" x14ac:dyDescent="0.25">
      <c r="B15" t="s">
        <v>94</v>
      </c>
      <c r="C15" t="str">
        <f>LEFT(A4,SEARCH(" ",A4)-1)</f>
        <v>United</v>
      </c>
    </row>
    <row r="16" spans="1:7" x14ac:dyDescent="0.25">
      <c r="B16" t="s">
        <v>95</v>
      </c>
      <c r="C16" t="str">
        <f>RIGHT(A4,LEN(A4) - SEARCH(" ",A4))</f>
        <v>States</v>
      </c>
    </row>
  </sheetData>
  <mergeCells count="1">
    <mergeCell ref="E1:F1"/>
  </mergeCell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8092-6A1B-4E8A-A4E1-D1356F81E1C1}">
  <dimension ref="A1:C14"/>
  <sheetViews>
    <sheetView zoomScale="118" zoomScaleNormal="118" workbookViewId="0">
      <selection activeCell="C5" sqref="C5"/>
    </sheetView>
  </sheetViews>
  <sheetFormatPr defaultRowHeight="15" x14ac:dyDescent="0.25"/>
  <cols>
    <col min="2" max="2" width="18.140625" bestFit="1" customWidth="1"/>
    <col min="3" max="3" width="28.7109375" bestFit="1" customWidth="1"/>
  </cols>
  <sheetData>
    <row r="1" spans="1:3" ht="15.75" x14ac:dyDescent="0.25">
      <c r="A1" s="5" t="s">
        <v>23</v>
      </c>
      <c r="B1" s="5" t="s">
        <v>24</v>
      </c>
      <c r="C1" s="5" t="s">
        <v>73</v>
      </c>
    </row>
    <row r="2" spans="1:3" x14ac:dyDescent="0.25">
      <c r="A2">
        <v>9654</v>
      </c>
      <c r="B2" t="str" cm="1">
        <f t="array" ref="B2:C2">_xlfn.XLOOKUP(A2,A5:A14,B5:C14,"Value Not Found")</f>
        <v>Hank Schrader</v>
      </c>
      <c r="C2" t="str">
        <v>DEA Agent</v>
      </c>
    </row>
    <row r="4" spans="1:3" ht="15.75" x14ac:dyDescent="0.25">
      <c r="A4" s="7" t="s">
        <v>23</v>
      </c>
      <c r="B4" s="7" t="s">
        <v>24</v>
      </c>
      <c r="C4" s="7" t="s">
        <v>71</v>
      </c>
    </row>
    <row r="5" spans="1:3" ht="15.75" x14ac:dyDescent="0.25">
      <c r="A5" s="11">
        <v>4564</v>
      </c>
      <c r="B5" s="11" t="s">
        <v>25</v>
      </c>
      <c r="C5" s="11" t="s">
        <v>65</v>
      </c>
    </row>
    <row r="6" spans="1:3" ht="15.75" x14ac:dyDescent="0.25">
      <c r="A6" s="11">
        <v>7456</v>
      </c>
      <c r="B6" s="11" t="s">
        <v>26</v>
      </c>
      <c r="C6" s="11" t="s">
        <v>65</v>
      </c>
    </row>
    <row r="7" spans="1:3" ht="15.75" x14ac:dyDescent="0.25">
      <c r="A7" s="11">
        <v>2345</v>
      </c>
      <c r="B7" s="11" t="s">
        <v>27</v>
      </c>
      <c r="C7" s="11" t="s">
        <v>72</v>
      </c>
    </row>
    <row r="8" spans="1:3" ht="15.75" x14ac:dyDescent="0.25">
      <c r="A8" s="11">
        <v>6445</v>
      </c>
      <c r="B8" s="11" t="s">
        <v>28</v>
      </c>
      <c r="C8" s="11" t="s">
        <v>89</v>
      </c>
    </row>
    <row r="9" spans="1:3" ht="15.75" x14ac:dyDescent="0.25">
      <c r="A9" s="11">
        <v>9654</v>
      </c>
      <c r="B9" s="11" t="s">
        <v>29</v>
      </c>
      <c r="C9" s="11" t="s">
        <v>66</v>
      </c>
    </row>
    <row r="10" spans="1:3" ht="15.75" x14ac:dyDescent="0.25">
      <c r="A10" s="11">
        <v>3468</v>
      </c>
      <c r="B10" s="11" t="s">
        <v>30</v>
      </c>
      <c r="C10" s="11" t="s">
        <v>67</v>
      </c>
    </row>
    <row r="11" spans="1:3" ht="15.75" x14ac:dyDescent="0.25">
      <c r="A11" s="11">
        <v>8425</v>
      </c>
      <c r="B11" s="11" t="s">
        <v>31</v>
      </c>
      <c r="C11" s="11" t="s">
        <v>68</v>
      </c>
    </row>
    <row r="12" spans="1:3" ht="15.75" x14ac:dyDescent="0.25">
      <c r="A12" s="11">
        <v>5674</v>
      </c>
      <c r="B12" s="11" t="s">
        <v>32</v>
      </c>
      <c r="C12" s="11" t="s">
        <v>69</v>
      </c>
    </row>
    <row r="13" spans="1:3" ht="15.75" x14ac:dyDescent="0.25">
      <c r="A13" s="11">
        <v>1345</v>
      </c>
      <c r="B13" s="11" t="s">
        <v>33</v>
      </c>
      <c r="C13" s="11" t="s">
        <v>70</v>
      </c>
    </row>
    <row r="14" spans="1:3" ht="15.75" x14ac:dyDescent="0.25">
      <c r="A14" s="11">
        <v>4562</v>
      </c>
      <c r="B14" s="11" t="s">
        <v>34</v>
      </c>
      <c r="C14" s="11" t="s">
        <v>65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C022-3B4E-4F07-B756-7A309F2D765B}">
  <dimension ref="A1:E7"/>
  <sheetViews>
    <sheetView zoomScale="127" zoomScaleNormal="127" workbookViewId="0">
      <selection activeCell="D6" sqref="D6"/>
    </sheetView>
  </sheetViews>
  <sheetFormatPr defaultRowHeight="15" x14ac:dyDescent="0.25"/>
  <cols>
    <col min="1" max="1" width="9.28515625" bestFit="1" customWidth="1"/>
    <col min="2" max="2" width="13.5703125" bestFit="1" customWidth="1"/>
    <col min="4" max="4" width="14" bestFit="1" customWidth="1"/>
    <col min="5" max="5" width="9.28515625" bestFit="1" customWidth="1"/>
  </cols>
  <sheetData>
    <row r="1" spans="1:5" ht="15.75" x14ac:dyDescent="0.25">
      <c r="A1" s="8" t="s">
        <v>35</v>
      </c>
      <c r="B1" s="8" t="s">
        <v>36</v>
      </c>
      <c r="C1" s="1"/>
      <c r="D1" s="8" t="s">
        <v>37</v>
      </c>
      <c r="E1" s="8" t="s">
        <v>35</v>
      </c>
    </row>
    <row r="2" spans="1:5" ht="15.75" x14ac:dyDescent="0.25">
      <c r="A2" s="9">
        <v>0.12</v>
      </c>
      <c r="B2" s="10">
        <v>11500</v>
      </c>
      <c r="D2" s="13">
        <v>95000</v>
      </c>
      <c r="E2" s="18">
        <f>_xlfn.XLOOKUP(D2,B2:B7,A2:A7,0,-1,1)</f>
        <v>0.26</v>
      </c>
    </row>
    <row r="3" spans="1:5" x14ac:dyDescent="0.25">
      <c r="A3" s="9">
        <v>0.24</v>
      </c>
      <c r="B3" s="10">
        <v>42645</v>
      </c>
      <c r="D3" s="1" t="s">
        <v>97</v>
      </c>
    </row>
    <row r="4" spans="1:5" x14ac:dyDescent="0.25">
      <c r="A4" s="9">
        <v>0.26</v>
      </c>
      <c r="B4" s="10">
        <v>93250</v>
      </c>
      <c r="D4" s="1" t="s">
        <v>98</v>
      </c>
    </row>
    <row r="5" spans="1:5" x14ac:dyDescent="0.25">
      <c r="A5" s="9">
        <v>0.3</v>
      </c>
      <c r="B5" s="10">
        <v>182500</v>
      </c>
      <c r="D5" s="29" t="s">
        <v>99</v>
      </c>
    </row>
    <row r="6" spans="1:5" x14ac:dyDescent="0.25">
      <c r="A6" s="9">
        <v>0.33</v>
      </c>
      <c r="B6" s="10">
        <v>215600</v>
      </c>
    </row>
    <row r="7" spans="1:5" x14ac:dyDescent="0.25">
      <c r="A7" s="9">
        <v>0.39</v>
      </c>
      <c r="B7" s="10">
        <v>575000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2B7B-2F83-478F-8ABC-86C8BA6EA361}">
  <dimension ref="B2:G18"/>
  <sheetViews>
    <sheetView workbookViewId="0">
      <selection activeCell="D3" sqref="D3"/>
    </sheetView>
  </sheetViews>
  <sheetFormatPr defaultRowHeight="15" x14ac:dyDescent="0.25"/>
  <cols>
    <col min="2" max="2" width="18.28515625" bestFit="1" customWidth="1"/>
    <col min="3" max="6" width="16" bestFit="1" customWidth="1"/>
    <col min="7" max="7" width="17.5703125" bestFit="1" customWidth="1"/>
  </cols>
  <sheetData>
    <row r="2" spans="2:7" ht="15.75" x14ac:dyDescent="0.25">
      <c r="C2" s="8" t="s">
        <v>38</v>
      </c>
      <c r="D2" s="8" t="s">
        <v>39</v>
      </c>
      <c r="E2" s="8" t="s">
        <v>40</v>
      </c>
      <c r="F2" s="8" t="s">
        <v>41</v>
      </c>
    </row>
    <row r="3" spans="2:7" x14ac:dyDescent="0.25">
      <c r="C3" s="3" t="s">
        <v>47</v>
      </c>
      <c r="D3" s="10" cm="1">
        <f t="array" ref="D3">_xlfn.XLOOKUP(D2,$B$6:$B$14,_xlfn.XLOOKUP($C$3,$C$5:$G$5,$C$6:$G$14))</f>
        <v>135400</v>
      </c>
      <c r="E3" s="10" cm="1">
        <f t="array" ref="E3">_xlfn.XLOOKUP(E2,$B$6:$B$14,_xlfn.XLOOKUP($C$3,$C$5:$G$5,$C$6:$G$14))</f>
        <v>104104.8</v>
      </c>
      <c r="F3" s="25" cm="1">
        <f t="array" ref="F3">_xlfn.XLOOKUP(F2,$B$6:$B$14,_xlfn.XLOOKUP($C$3,$C$5:$G$5,$C$6:$G$14))</f>
        <v>0.30061245975209594</v>
      </c>
    </row>
    <row r="5" spans="2:7" ht="15.75" x14ac:dyDescent="0.25">
      <c r="B5" s="16" t="s">
        <v>42</v>
      </c>
      <c r="C5" s="15" t="s">
        <v>43</v>
      </c>
      <c r="D5" s="15" t="s">
        <v>44</v>
      </c>
      <c r="E5" s="15" t="s">
        <v>45</v>
      </c>
      <c r="F5" s="15" t="s">
        <v>46</v>
      </c>
      <c r="G5" s="15" t="s">
        <v>47</v>
      </c>
    </row>
    <row r="6" spans="2:7" ht="15.75" x14ac:dyDescent="0.25">
      <c r="B6" s="12" t="s">
        <v>48</v>
      </c>
      <c r="C6" s="21">
        <v>40000</v>
      </c>
      <c r="D6" s="21">
        <v>73200</v>
      </c>
      <c r="E6" s="21">
        <v>92500</v>
      </c>
      <c r="F6" s="21">
        <v>82300</v>
      </c>
      <c r="G6" s="21">
        <f>SUM(C6:F6)</f>
        <v>288000</v>
      </c>
    </row>
    <row r="7" spans="2:7" ht="15.75" x14ac:dyDescent="0.25">
      <c r="B7" s="12" t="s">
        <v>49</v>
      </c>
      <c r="C7" s="22">
        <v>-23000</v>
      </c>
      <c r="D7" s="22">
        <v>-39300</v>
      </c>
      <c r="E7" s="22">
        <v>-47700</v>
      </c>
      <c r="F7" s="22">
        <v>-42600</v>
      </c>
      <c r="G7" s="22">
        <f>SUM(C7:F7)</f>
        <v>-152600</v>
      </c>
    </row>
    <row r="8" spans="2:7" ht="15.75" x14ac:dyDescent="0.25">
      <c r="B8" s="12" t="s">
        <v>39</v>
      </c>
      <c r="C8" s="21">
        <f>C6+C7</f>
        <v>17000</v>
      </c>
      <c r="D8" s="21">
        <f t="shared" ref="D8:G8" si="0">D6+D7</f>
        <v>33900</v>
      </c>
      <c r="E8" s="21">
        <f t="shared" si="0"/>
        <v>44800</v>
      </c>
      <c r="F8" s="21">
        <f t="shared" si="0"/>
        <v>39700</v>
      </c>
      <c r="G8" s="21">
        <f t="shared" si="0"/>
        <v>135400</v>
      </c>
    </row>
    <row r="9" spans="2:7" ht="15.75" x14ac:dyDescent="0.25">
      <c r="B9" s="12" t="s">
        <v>50</v>
      </c>
      <c r="C9" s="23">
        <v>-956</v>
      </c>
      <c r="D9" s="23">
        <v>-845</v>
      </c>
      <c r="E9" s="23">
        <v>-354</v>
      </c>
      <c r="F9" s="23">
        <v>-550</v>
      </c>
      <c r="G9" s="23">
        <f>SUM(C9:F9)</f>
        <v>-2705</v>
      </c>
    </row>
    <row r="10" spans="2:7" ht="15.75" x14ac:dyDescent="0.25">
      <c r="B10" s="12" t="s">
        <v>51</v>
      </c>
      <c r="C10" s="23">
        <v>-624</v>
      </c>
      <c r="D10" s="23">
        <v>-925</v>
      </c>
      <c r="E10" s="23">
        <v>-230</v>
      </c>
      <c r="F10" s="23">
        <v>-785</v>
      </c>
      <c r="G10" s="23">
        <f t="shared" ref="G10" si="1">SUM(C10:F10)</f>
        <v>-2564</v>
      </c>
    </row>
    <row r="11" spans="2:7" ht="15.75" x14ac:dyDescent="0.25">
      <c r="B11" s="12" t="s">
        <v>52</v>
      </c>
      <c r="C11" s="21">
        <f>SUM(C8:C10)</f>
        <v>15420</v>
      </c>
      <c r="D11" s="21">
        <f>SUM(D8:D10)</f>
        <v>32130</v>
      </c>
      <c r="E11" s="21">
        <f>SUM(E8:E10)</f>
        <v>44216</v>
      </c>
      <c r="F11" s="21">
        <f>SUM(F8:F10)</f>
        <v>38365</v>
      </c>
      <c r="G11" s="21">
        <f>SUM(G8:G10)</f>
        <v>130131</v>
      </c>
    </row>
    <row r="12" spans="2:7" ht="15.75" x14ac:dyDescent="0.25">
      <c r="B12" s="12" t="s">
        <v>53</v>
      </c>
      <c r="C12" s="23">
        <f>-(C11*0.2)</f>
        <v>-3084</v>
      </c>
      <c r="D12" s="23">
        <f>-(D11*0.2)</f>
        <v>-6426</v>
      </c>
      <c r="E12" s="23">
        <f>-(E11*0.2)</f>
        <v>-8843.2000000000007</v>
      </c>
      <c r="F12" s="23">
        <f>-(F11*0.2)</f>
        <v>-7673</v>
      </c>
      <c r="G12" s="23">
        <f>SUM(C12:F12)</f>
        <v>-26026.2</v>
      </c>
    </row>
    <row r="13" spans="2:7" ht="15.75" x14ac:dyDescent="0.25">
      <c r="B13" s="12" t="s">
        <v>54</v>
      </c>
      <c r="C13" s="21">
        <f>SUM(C11:C12)</f>
        <v>12336</v>
      </c>
      <c r="D13" s="21">
        <f>SUM(D11:D12)</f>
        <v>25704</v>
      </c>
      <c r="E13" s="21">
        <f>SUM(E11:E12)</f>
        <v>35372.800000000003</v>
      </c>
      <c r="F13" s="21">
        <f>SUM(F11:F12)</f>
        <v>30692</v>
      </c>
      <c r="G13" s="21">
        <f>SUM(G11:G12)</f>
        <v>104104.8</v>
      </c>
    </row>
    <row r="14" spans="2:7" ht="15.75" x14ac:dyDescent="0.25">
      <c r="B14" s="12" t="s">
        <v>41</v>
      </c>
      <c r="C14" s="24">
        <f>(C8-C13)/C13</f>
        <v>0.37808041504539558</v>
      </c>
      <c r="D14" s="24">
        <f>(D8-D13)/D13</f>
        <v>0.31886087768440707</v>
      </c>
      <c r="E14" s="24">
        <f>(E8-E13)/E13</f>
        <v>0.26650986068391525</v>
      </c>
      <c r="F14" s="24">
        <f>(F8-F13)/F13</f>
        <v>0.29349667665841261</v>
      </c>
      <c r="G14" s="24">
        <f>(G8-G13)/G13</f>
        <v>0.30061245975209594</v>
      </c>
    </row>
    <row r="16" spans="2:7" x14ac:dyDescent="0.25">
      <c r="D16" s="1" t="s">
        <v>100</v>
      </c>
    </row>
    <row r="18" spans="2:2" x14ac:dyDescent="0.25">
      <c r="B18" s="28"/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748A-02D2-424F-B25A-14279D340904}">
  <dimension ref="B2:G10"/>
  <sheetViews>
    <sheetView workbookViewId="0">
      <selection activeCell="G14" sqref="G14"/>
    </sheetView>
  </sheetViews>
  <sheetFormatPr defaultRowHeight="15" x14ac:dyDescent="0.25"/>
  <cols>
    <col min="2" max="2" width="9.85546875" bestFit="1" customWidth="1"/>
    <col min="3" max="3" width="9.140625" bestFit="1" customWidth="1"/>
    <col min="4" max="4" width="9.28515625" bestFit="1" customWidth="1"/>
    <col min="5" max="5" width="14.28515625" bestFit="1" customWidth="1"/>
  </cols>
  <sheetData>
    <row r="2" spans="2:7" ht="15.75" x14ac:dyDescent="0.25">
      <c r="B2" s="14" t="s">
        <v>55</v>
      </c>
      <c r="C2" s="14" t="s">
        <v>56</v>
      </c>
      <c r="D2" s="14" t="s">
        <v>47</v>
      </c>
      <c r="E2" s="32" t="s">
        <v>92</v>
      </c>
    </row>
    <row r="3" spans="2:7" x14ac:dyDescent="0.25">
      <c r="B3" s="6" t="s">
        <v>57</v>
      </c>
      <c r="C3" s="6" t="s">
        <v>64</v>
      </c>
      <c r="D3" s="19">
        <f>SUM(_xlfn.XLOOKUP(B3,B6:B10,E6:E10):_xlfn.XLOOKUP(C3,B6:B10,E6:E10))</f>
        <v>119.08</v>
      </c>
      <c r="E3">
        <f>SUM(_xlfn.XLOOKUP(B3,B6:B10,C6:C10):_xlfn.XLOOKUP(C3,B6:B10,C6:C10))</f>
        <v>233</v>
      </c>
    </row>
    <row r="4" spans="2:7" x14ac:dyDescent="0.25">
      <c r="G4" s="29" t="s">
        <v>90</v>
      </c>
    </row>
    <row r="5" spans="2:7" ht="15.75" x14ac:dyDescent="0.25">
      <c r="B5" s="7" t="s">
        <v>59</v>
      </c>
      <c r="C5" s="7" t="s">
        <v>60</v>
      </c>
      <c r="D5" s="7" t="s">
        <v>61</v>
      </c>
      <c r="E5" s="7" t="s">
        <v>47</v>
      </c>
    </row>
    <row r="6" spans="2:7" ht="15.75" x14ac:dyDescent="0.25">
      <c r="B6" s="11" t="s">
        <v>57</v>
      </c>
      <c r="C6" s="11">
        <v>43</v>
      </c>
      <c r="D6" s="17">
        <v>0.68</v>
      </c>
      <c r="E6" s="17">
        <f>C6*D6</f>
        <v>29.240000000000002</v>
      </c>
    </row>
    <row r="7" spans="2:7" ht="15.75" x14ac:dyDescent="0.25">
      <c r="B7" s="11" t="s">
        <v>62</v>
      </c>
      <c r="C7" s="11">
        <v>74</v>
      </c>
      <c r="D7" s="17">
        <v>0.83</v>
      </c>
      <c r="E7" s="17">
        <f t="shared" ref="E7:E10" si="0">C7*D7</f>
        <v>61.419999999999995</v>
      </c>
    </row>
    <row r="8" spans="2:7" ht="15.75" x14ac:dyDescent="0.25">
      <c r="B8" s="11" t="s">
        <v>63</v>
      </c>
      <c r="C8" s="11">
        <v>34</v>
      </c>
      <c r="D8" s="17">
        <v>0.45</v>
      </c>
      <c r="E8" s="17">
        <f t="shared" si="0"/>
        <v>15.3</v>
      </c>
    </row>
    <row r="9" spans="2:7" ht="15.75" x14ac:dyDescent="0.25">
      <c r="B9" s="11" t="s">
        <v>64</v>
      </c>
      <c r="C9" s="11">
        <v>82</v>
      </c>
      <c r="D9" s="17">
        <v>0.16</v>
      </c>
      <c r="E9" s="17">
        <f t="shared" si="0"/>
        <v>13.120000000000001</v>
      </c>
    </row>
    <row r="10" spans="2:7" ht="15.75" x14ac:dyDescent="0.25">
      <c r="B10" s="11" t="s">
        <v>58</v>
      </c>
      <c r="C10" s="11">
        <v>45</v>
      </c>
      <c r="D10" s="17">
        <v>0.22</v>
      </c>
      <c r="E10" s="17">
        <f t="shared" si="0"/>
        <v>9.9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907F-8DF7-4ABD-903A-7D02BAE8564F}">
  <dimension ref="A1:O13"/>
  <sheetViews>
    <sheetView workbookViewId="0">
      <selection activeCell="I3" sqref="I3"/>
    </sheetView>
  </sheetViews>
  <sheetFormatPr defaultRowHeight="15" x14ac:dyDescent="0.25"/>
  <cols>
    <col min="1" max="1" width="17" bestFit="1" customWidth="1"/>
    <col min="4" max="4" width="9.42578125" bestFit="1" customWidth="1"/>
    <col min="9" max="9" width="17" bestFit="1" customWidth="1"/>
  </cols>
  <sheetData>
    <row r="1" spans="1:15" x14ac:dyDescent="0.25">
      <c r="A1" s="53" t="s">
        <v>74</v>
      </c>
      <c r="B1" s="53"/>
      <c r="C1" s="53"/>
      <c r="D1" s="53"/>
      <c r="E1" s="53"/>
      <c r="I1" s="53" t="s">
        <v>74</v>
      </c>
      <c r="J1" s="53"/>
      <c r="K1" s="53"/>
      <c r="L1" s="53"/>
      <c r="M1" s="53"/>
    </row>
    <row r="3" spans="1:15" x14ac:dyDescent="0.25">
      <c r="A3" s="1" t="s">
        <v>83</v>
      </c>
      <c r="B3" s="1" t="s">
        <v>75</v>
      </c>
      <c r="C3" s="1" t="s">
        <v>76</v>
      </c>
      <c r="D3" s="1" t="s">
        <v>77</v>
      </c>
      <c r="E3" s="1" t="s">
        <v>78</v>
      </c>
      <c r="I3" s="1" t="s">
        <v>83</v>
      </c>
      <c r="J3" s="1" t="s">
        <v>75</v>
      </c>
      <c r="K3" s="1" t="s">
        <v>76</v>
      </c>
      <c r="L3" s="1" t="s">
        <v>77</v>
      </c>
      <c r="M3" s="1" t="s">
        <v>78</v>
      </c>
    </row>
    <row r="4" spans="1:15" x14ac:dyDescent="0.25">
      <c r="A4" t="s">
        <v>79</v>
      </c>
      <c r="B4" s="27">
        <v>7.16</v>
      </c>
      <c r="C4" s="27">
        <v>7.34</v>
      </c>
      <c r="D4" s="27">
        <v>7.43</v>
      </c>
      <c r="E4" s="27">
        <v>7.71</v>
      </c>
      <c r="I4" t="s">
        <v>80</v>
      </c>
      <c r="J4" s="27">
        <v>0.999</v>
      </c>
      <c r="K4" s="27">
        <v>1.1100000000000001</v>
      </c>
      <c r="L4" s="27">
        <v>1.24</v>
      </c>
      <c r="M4" s="27">
        <v>1.44</v>
      </c>
    </row>
    <row r="5" spans="1:15" x14ac:dyDescent="0.25">
      <c r="A5" t="s">
        <v>80</v>
      </c>
      <c r="B5" s="27">
        <v>0.999</v>
      </c>
      <c r="C5" s="27">
        <v>1.1100000000000001</v>
      </c>
      <c r="D5" s="27">
        <v>1.24</v>
      </c>
      <c r="E5" s="27">
        <v>1.44</v>
      </c>
      <c r="I5" t="s">
        <v>79</v>
      </c>
      <c r="J5" s="27">
        <v>7.16</v>
      </c>
      <c r="K5" s="27">
        <v>7.34</v>
      </c>
      <c r="L5" s="27">
        <v>7.43</v>
      </c>
      <c r="M5" s="27">
        <v>7.71</v>
      </c>
    </row>
    <row r="6" spans="1:15" x14ac:dyDescent="0.25">
      <c r="A6" t="s">
        <v>81</v>
      </c>
      <c r="B6" s="27">
        <v>0.81399999999999995</v>
      </c>
      <c r="C6" s="27">
        <v>1.0960000000000001</v>
      </c>
      <c r="D6" s="27">
        <v>1.208</v>
      </c>
      <c r="E6" s="27">
        <v>1.579</v>
      </c>
      <c r="I6" t="s">
        <v>81</v>
      </c>
      <c r="J6" s="27">
        <v>0.81399999999999995</v>
      </c>
      <c r="K6" s="27">
        <v>1.0960000000000001</v>
      </c>
      <c r="L6" s="27">
        <v>1.208</v>
      </c>
      <c r="M6" s="27">
        <v>1.579</v>
      </c>
    </row>
    <row r="7" spans="1:15" x14ac:dyDescent="0.25">
      <c r="A7" t="s">
        <v>82</v>
      </c>
      <c r="B7" s="27">
        <v>6</v>
      </c>
      <c r="C7" s="27">
        <v>7</v>
      </c>
      <c r="D7" s="27">
        <v>7.2</v>
      </c>
      <c r="E7" s="27">
        <v>8.6300000000000008</v>
      </c>
      <c r="I7" t="s">
        <v>82</v>
      </c>
      <c r="J7" s="27">
        <v>6</v>
      </c>
      <c r="K7" s="27">
        <v>7</v>
      </c>
      <c r="L7" s="27">
        <v>7.2</v>
      </c>
      <c r="M7" s="27">
        <v>8.6300000000000008</v>
      </c>
    </row>
    <row r="9" spans="1:15" x14ac:dyDescent="0.25">
      <c r="B9" s="1" t="s">
        <v>84</v>
      </c>
      <c r="C9" t="s">
        <v>82</v>
      </c>
      <c r="J9" s="1" t="s">
        <v>84</v>
      </c>
      <c r="K9" s="26" t="s">
        <v>82</v>
      </c>
      <c r="N9" t="s">
        <v>88</v>
      </c>
    </row>
    <row r="10" spans="1:15" x14ac:dyDescent="0.25">
      <c r="B10" s="1" t="s">
        <v>38</v>
      </c>
      <c r="C10" t="s">
        <v>76</v>
      </c>
      <c r="D10" t="s">
        <v>86</v>
      </c>
      <c r="J10" s="1" t="s">
        <v>38</v>
      </c>
      <c r="K10" s="30" t="s">
        <v>76</v>
      </c>
      <c r="N10">
        <f>MATCH(K9,I4:I7)</f>
        <v>4</v>
      </c>
      <c r="O10" s="29" t="s">
        <v>93</v>
      </c>
    </row>
    <row r="11" spans="1:15" x14ac:dyDescent="0.25">
      <c r="B11" s="1" t="s">
        <v>85</v>
      </c>
      <c r="C11" s="28" cm="1">
        <f t="array" ref="C11">_xlfn.XLOOKUP(C9,A4:A7,_xlfn.XLOOKUP(C10,B3:E3,B4:E7))</f>
        <v>7</v>
      </c>
      <c r="D11" s="54" t="s">
        <v>87</v>
      </c>
      <c r="E11" s="54"/>
      <c r="F11" s="54"/>
      <c r="J11" s="1" t="s">
        <v>85</v>
      </c>
      <c r="K11" s="31">
        <f>INDEX(J4:M7,MATCH(K9,I4:I7),MATCH(K10,J3:M3))</f>
        <v>7</v>
      </c>
      <c r="N11">
        <f>MATCH(K10,J3:M3)</f>
        <v>2</v>
      </c>
    </row>
    <row r="13" spans="1:15" x14ac:dyDescent="0.25">
      <c r="J13" s="29" t="s">
        <v>91</v>
      </c>
    </row>
  </sheetData>
  <mergeCells count="3">
    <mergeCell ref="A1:E1"/>
    <mergeCell ref="D11:F11"/>
    <mergeCell ref="I1:M1"/>
  </mergeCells>
  <dataValidations count="4">
    <dataValidation type="list" allowBlank="1" showInputMessage="1" showErrorMessage="1" sqref="C9" xr:uid="{93DB5B3C-F533-4886-B237-AE3A35A19578}">
      <formula1>$A$4:$A$7</formula1>
    </dataValidation>
    <dataValidation type="list" allowBlank="1" showInputMessage="1" showErrorMessage="1" sqref="C10" xr:uid="{C98D06D7-0DB1-4F2C-9A01-087E96F41AEA}">
      <formula1>$B$3:$E$3</formula1>
    </dataValidation>
    <dataValidation type="list" allowBlank="1" showInputMessage="1" showErrorMessage="1" sqref="K10" xr:uid="{10D0A97C-E7D7-4C90-AB7B-AF956DB75537}">
      <formula1>$J$3:$M$3</formula1>
    </dataValidation>
    <dataValidation type="list" allowBlank="1" showInputMessage="1" showErrorMessage="1" sqref="K9" xr:uid="{EFB34406-D2DF-4CB8-AB64-73785DED762F}">
      <formula1>$I$4:$I$7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00058C88F9E44498F3BB9F48A5AE04" ma:contentTypeVersion="12" ma:contentTypeDescription="Create a new document." ma:contentTypeScope="" ma:versionID="1c76e7c378c7995198277494c9299a81">
  <xsd:schema xmlns:xsd="http://www.w3.org/2001/XMLSchema" xmlns:xs="http://www.w3.org/2001/XMLSchema" xmlns:p="http://schemas.microsoft.com/office/2006/metadata/properties" xmlns:ns3="13caca36-6115-4723-b1ab-52433f919656" xmlns:ns4="d1949753-2b2e-42d8-bd3b-4d471a90e938" targetNamespace="http://schemas.microsoft.com/office/2006/metadata/properties" ma:root="true" ma:fieldsID="aec9fd1e1bb9552a4965345142206c93" ns3:_="" ns4:_="">
    <xsd:import namespace="13caca36-6115-4723-b1ab-52433f919656"/>
    <xsd:import namespace="d1949753-2b2e-42d8-bd3b-4d471a90e9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caca36-6115-4723-b1ab-52433f9196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49753-2b2e-42d8-bd3b-4d471a90e93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1ACFC0-D7B0-455D-A24D-B6D067013C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caca36-6115-4723-b1ab-52433f919656"/>
    <ds:schemaRef ds:uri="d1949753-2b2e-42d8-bd3b-4d471a90e9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13465B-2AED-42E7-815F-2F2C8436F52B}">
  <ds:schemaRefs>
    <ds:schemaRef ds:uri="http://purl.org/dc/dcmitype/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2006/documentManagement/types"/>
    <ds:schemaRef ds:uri="d1949753-2b2e-42d8-bd3b-4d471a90e938"/>
    <ds:schemaRef ds:uri="13caca36-6115-4723-b1ab-52433f919656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C32B2E4-5894-44DB-9AAD-264D42C63E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Basic Vlookup</vt:lpstr>
      <vt:lpstr>Hlookup</vt:lpstr>
      <vt:lpstr>Xlookup - BETTER</vt:lpstr>
      <vt:lpstr>Xlookup 2</vt:lpstr>
      <vt:lpstr>Xlookup 3</vt:lpstr>
      <vt:lpstr>Xlookup 4</vt:lpstr>
      <vt:lpstr>Xlookup 5</vt:lpstr>
      <vt:lpstr>SumFilter</vt:lpstr>
      <vt:lpstr>Exact Match</vt:lpstr>
      <vt:lpstr>Multiple Items</vt:lpstr>
      <vt:lpstr>Finds Matching </vt:lpstr>
      <vt:lpstr>Nested</vt:lpstr>
      <vt:lpstr>SUM</vt:lpstr>
      <vt:lpstr>INDEX and MATCH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Jamie Keet</dc:creator>
  <cp:keywords/>
  <dc:description/>
  <cp:lastModifiedBy>Ezhan Khan</cp:lastModifiedBy>
  <cp:revision/>
  <dcterms:created xsi:type="dcterms:W3CDTF">2022-09-27T17:22:22Z</dcterms:created>
  <dcterms:modified xsi:type="dcterms:W3CDTF">2023-07-08T15:41:21Z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0x0101000B00058C88F9E44498F3BB9F48A5AE04</vt:lpwstr>
  </property>
</Properties>
</file>