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c1bcf4e9113f09bb/Desktop/Portfolio/"/>
    </mc:Choice>
  </mc:AlternateContent>
  <xr:revisionPtr revIDLastSave="0" documentId="8_{71553E67-187F-4DF8-89B5-B2054C6DCD05}" xr6:coauthVersionLast="47" xr6:coauthVersionMax="47" xr10:uidLastSave="{00000000-0000-0000-0000-000000000000}"/>
  <bookViews>
    <workbookView minimized="1" xWindow="3420" yWindow="3420" windowWidth="15375" windowHeight="8325" activeTab="2" xr2:uid="{1E123938-93A2-4C8F-A977-07FA0211D798}"/>
  </bookViews>
  <sheets>
    <sheet name="Exam Results" sheetId="1" r:id="rId1"/>
    <sheet name="A" sheetId="3" r:id="rId2"/>
    <sheet name="B" sheetId="4" r:id="rId3"/>
    <sheet name="C" sheetId="5" r:id="rId4"/>
    <sheet name="D" sheetId="2" r:id="rId5"/>
  </sheets>
  <externalReferences>
    <externalReference r:id="rId6"/>
  </externalReference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2" i="3" l="1"/>
  <c r="G52" i="3"/>
  <c r="H61" i="3"/>
  <c r="H60" i="3"/>
  <c r="G61" i="3"/>
  <c r="G54" i="3"/>
  <c r="G53" i="3"/>
  <c r="H54" i="3"/>
  <c r="H53" i="3"/>
  <c r="G60" i="3"/>
  <c r="G56" i="3" l="1"/>
  <c r="G63" i="3"/>
  <c r="H63" i="3"/>
  <c r="H56" i="3"/>
  <c r="H6" i="5"/>
  <c r="H5" i="5"/>
  <c r="H4" i="5"/>
  <c r="G3" i="5"/>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W39" i="4"/>
  <c r="W40" i="4"/>
  <c r="W41" i="4"/>
  <c r="W42" i="4"/>
  <c r="W43" i="4"/>
  <c r="W44" i="4"/>
  <c r="W45" i="4"/>
  <c r="W46" i="4"/>
  <c r="W47" i="4"/>
  <c r="W48" i="4"/>
  <c r="W49" i="4"/>
  <c r="W50" i="4"/>
  <c r="W51" i="4"/>
  <c r="W52" i="4"/>
  <c r="W53" i="4"/>
  <c r="W54" i="4"/>
  <c r="W5" i="4"/>
  <c r="AE8" i="4"/>
  <c r="AE6" i="4"/>
  <c r="AE7" i="4" s="1"/>
  <c r="AE5" i="4"/>
  <c r="U6" i="4"/>
  <c r="U7" i="4"/>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U48" i="4"/>
  <c r="U49" i="4"/>
  <c r="U50" i="4"/>
  <c r="U51" i="4"/>
  <c r="U52" i="4"/>
  <c r="U53" i="4"/>
  <c r="U54" i="4"/>
  <c r="U5" i="4"/>
  <c r="T5" i="4" a="1"/>
  <c r="T5" i="4" s="1"/>
  <c r="S4" i="4"/>
  <c r="S5" i="4"/>
  <c r="S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S48" i="4"/>
  <c r="S49" i="4"/>
  <c r="S50" i="4"/>
  <c r="S51" i="4"/>
  <c r="S52" i="4"/>
  <c r="S53" i="4"/>
  <c r="S54" i="4"/>
  <c r="R5" i="4"/>
  <c r="R6" i="4"/>
  <c r="R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4" i="4"/>
  <c r="Q7" i="4"/>
  <c r="Q8" i="4" s="1"/>
  <c r="Q9" i="4" s="1"/>
  <c r="Q10" i="4" s="1"/>
  <c r="Q11" i="4" s="1"/>
  <c r="Q12" i="4" s="1"/>
  <c r="Q13" i="4" s="1"/>
  <c r="Q14" i="4" s="1"/>
  <c r="Q15" i="4" s="1"/>
  <c r="Q16" i="4" s="1"/>
  <c r="Q17" i="4" s="1"/>
  <c r="Q18" i="4" s="1"/>
  <c r="Q19" i="4" s="1"/>
  <c r="Q20" i="4" s="1"/>
  <c r="Q21" i="4" s="1"/>
  <c r="Q22" i="4" s="1"/>
  <c r="Q23" i="4" s="1"/>
  <c r="Q24" i="4" s="1"/>
  <c r="Q25" i="4" s="1"/>
  <c r="Q26" i="4" s="1"/>
  <c r="Q27" i="4" s="1"/>
  <c r="Q28" i="4" s="1"/>
  <c r="Q29" i="4" s="1"/>
  <c r="Q30" i="4" s="1"/>
  <c r="Q31" i="4" s="1"/>
  <c r="Q32" i="4" s="1"/>
  <c r="Q33" i="4" s="1"/>
  <c r="Q34" i="4" s="1"/>
  <c r="Q35" i="4" s="1"/>
  <c r="Q36" i="4" s="1"/>
  <c r="Q37" i="4" s="1"/>
  <c r="Q38" i="4" s="1"/>
  <c r="Q39" i="4" s="1"/>
  <c r="Q40" i="4" s="1"/>
  <c r="Q41" i="4" s="1"/>
  <c r="Q42" i="4" s="1"/>
  <c r="Q43" i="4" s="1"/>
  <c r="Q44" i="4" s="1"/>
  <c r="Q45" i="4" s="1"/>
  <c r="Q46" i="4" s="1"/>
  <c r="Q47" i="4" s="1"/>
  <c r="Q48" i="4" s="1"/>
  <c r="Q49" i="4" s="1"/>
  <c r="Q50" i="4" s="1"/>
  <c r="Q51" i="4" s="1"/>
  <c r="Q52" i="4" s="1"/>
  <c r="Q53" i="4" s="1"/>
  <c r="Q54" i="4" s="1"/>
  <c r="Q6" i="4"/>
  <c r="E19" i="4" a="1"/>
  <c r="E19" i="4" s="1"/>
  <c r="G15" i="4"/>
  <c r="F15" i="4"/>
  <c r="F14" i="4"/>
  <c r="F13" i="4"/>
  <c r="F9" i="4"/>
  <c r="F47" i="3"/>
  <c r="J37" i="3"/>
  <c r="G36" i="3"/>
  <c r="G27" i="3"/>
  <c r="E7" i="2"/>
  <c r="O27" i="2"/>
  <c r="O26" i="2"/>
  <c r="L22" i="2"/>
  <c r="K22" i="2"/>
  <c r="J22" i="2"/>
  <c r="I22" i="2"/>
  <c r="E21" i="2" a="1"/>
  <c r="E21" i="2" s="1"/>
  <c r="G23" i="2"/>
  <c r="F23" i="2"/>
  <c r="E23" i="2"/>
  <c r="G22" i="2"/>
  <c r="G21" i="2"/>
  <c r="D21" i="2"/>
  <c r="D22" i="2"/>
  <c r="E20" i="2"/>
  <c r="F20" i="2"/>
  <c r="D20" i="2"/>
  <c r="G5" i="2"/>
  <c r="G4" i="2"/>
  <c r="G3" i="2"/>
  <c r="F5" i="2"/>
  <c r="E5" i="2"/>
  <c r="E4" i="2"/>
  <c r="E3" i="2"/>
  <c r="F4" i="2"/>
  <c r="F3" i="2"/>
  <c r="I39" i="3" a="1"/>
  <c r="G28" i="3"/>
  <c r="J26" i="2"/>
  <c r="V5" i="4" a="1"/>
  <c r="J38" i="3"/>
  <c r="L27" i="2"/>
  <c r="F27" i="2"/>
  <c r="G29" i="3"/>
  <c r="N6" i="4" a="1"/>
  <c r="J27" i="2"/>
  <c r="F18" i="4" a="1"/>
  <c r="L26" i="2"/>
  <c r="F38" i="3" a="1"/>
  <c r="M26" i="2" l="1"/>
  <c r="K27" i="2"/>
  <c r="N27" i="2"/>
  <c r="M27" i="2"/>
  <c r="K26" i="2"/>
  <c r="N26" i="2"/>
  <c r="V8" i="4"/>
  <c r="V12" i="4"/>
  <c r="V16" i="4"/>
  <c r="V20" i="4"/>
  <c r="V24" i="4"/>
  <c r="V28" i="4"/>
  <c r="V32" i="4"/>
  <c r="V36" i="4"/>
  <c r="V40" i="4"/>
  <c r="V44" i="4"/>
  <c r="V48" i="4"/>
  <c r="V52" i="4"/>
  <c r="V10" i="4"/>
  <c r="V18" i="4"/>
  <c r="V26" i="4"/>
  <c r="V34" i="4"/>
  <c r="V42" i="4"/>
  <c r="V50" i="4"/>
  <c r="V7" i="4"/>
  <c r="V15" i="4"/>
  <c r="V19" i="4"/>
  <c r="V27" i="4"/>
  <c r="V35" i="4"/>
  <c r="V43" i="4"/>
  <c r="V51" i="4"/>
  <c r="V5" i="4"/>
  <c r="V9" i="4"/>
  <c r="V13" i="4"/>
  <c r="V17" i="4"/>
  <c r="V21" i="4"/>
  <c r="V25" i="4"/>
  <c r="V29" i="4"/>
  <c r="V33" i="4"/>
  <c r="V37" i="4"/>
  <c r="V41" i="4"/>
  <c r="V45" i="4"/>
  <c r="V49" i="4"/>
  <c r="V53" i="4"/>
  <c r="V6" i="4"/>
  <c r="V14" i="4"/>
  <c r="V22" i="4"/>
  <c r="V30" i="4"/>
  <c r="V38" i="4"/>
  <c r="V46" i="4"/>
  <c r="V54" i="4"/>
  <c r="V11" i="4"/>
  <c r="V23" i="4"/>
  <c r="V31" i="4"/>
  <c r="V39" i="4"/>
  <c r="V47" i="4"/>
  <c r="T48" i="4"/>
  <c r="T40" i="4"/>
  <c r="T32" i="4"/>
  <c r="T24" i="4"/>
  <c r="T20" i="4"/>
  <c r="T16" i="4"/>
  <c r="T8" i="4"/>
  <c r="T51" i="4"/>
  <c r="T43" i="4"/>
  <c r="T35" i="4"/>
  <c r="T27" i="4"/>
  <c r="T19" i="4"/>
  <c r="T15" i="4"/>
  <c r="T7" i="4"/>
  <c r="T54" i="4"/>
  <c r="T50" i="4"/>
  <c r="T46" i="4"/>
  <c r="T42" i="4"/>
  <c r="T38" i="4"/>
  <c r="T34" i="4"/>
  <c r="T30" i="4"/>
  <c r="T26" i="4"/>
  <c r="T22" i="4"/>
  <c r="T18" i="4"/>
  <c r="T14" i="4"/>
  <c r="T10" i="4"/>
  <c r="T6" i="4"/>
  <c r="T52" i="4"/>
  <c r="T44" i="4"/>
  <c r="T36" i="4"/>
  <c r="T28" i="4"/>
  <c r="T12" i="4"/>
  <c r="T47" i="4"/>
  <c r="T39" i="4"/>
  <c r="T31" i="4"/>
  <c r="T23" i="4"/>
  <c r="T11" i="4"/>
  <c r="T53" i="4"/>
  <c r="T49" i="4"/>
  <c r="T45" i="4"/>
  <c r="T41" i="4"/>
  <c r="T37" i="4"/>
  <c r="T33" i="4"/>
  <c r="T29" i="4"/>
  <c r="T25" i="4"/>
  <c r="T21" i="4"/>
  <c r="T17" i="4"/>
  <c r="T13" i="4"/>
  <c r="T9" i="4"/>
  <c r="N7" i="4"/>
  <c r="N9" i="4"/>
  <c r="O7" i="4"/>
  <c r="O9" i="4"/>
  <c r="N6" i="4"/>
  <c r="N8" i="4"/>
  <c r="O6" i="4"/>
  <c r="O8" i="4"/>
  <c r="G19" i="4"/>
  <c r="F18" i="4"/>
  <c r="G18" i="4"/>
  <c r="F19" i="4"/>
  <c r="J40" i="3"/>
  <c r="J42" i="3"/>
  <c r="I39" i="3"/>
  <c r="I41" i="3"/>
  <c r="I42" i="3"/>
  <c r="J39" i="3"/>
  <c r="J41" i="3"/>
  <c r="I40" i="3"/>
  <c r="F38" i="3"/>
  <c r="F40" i="3"/>
  <c r="F41" i="3"/>
  <c r="G41" i="3"/>
  <c r="G38" i="3"/>
  <c r="G37" i="3" s="1"/>
  <c r="G40" i="3"/>
  <c r="F39" i="3"/>
  <c r="G39" i="3"/>
  <c r="F22" i="2"/>
  <c r="E22" i="2"/>
  <c r="F21" i="2"/>
  <c r="AA47" i="4" l="1"/>
  <c r="X47" i="4"/>
  <c r="Y47" i="4" s="1"/>
  <c r="AA11" i="4"/>
  <c r="X11" i="4"/>
  <c r="Y11" i="4" s="1"/>
  <c r="X53" i="4"/>
  <c r="Y53" i="4" s="1"/>
  <c r="AA53" i="4"/>
  <c r="X37" i="4"/>
  <c r="Y37" i="4" s="1"/>
  <c r="AA37" i="4"/>
  <c r="AA21" i="4"/>
  <c r="X21" i="4"/>
  <c r="Y21" i="4" s="1"/>
  <c r="AA27" i="4"/>
  <c r="X27" i="4"/>
  <c r="Y27" i="4" s="1"/>
  <c r="X18" i="4"/>
  <c r="Y18" i="4" s="1"/>
  <c r="AA18" i="4"/>
  <c r="X44" i="4"/>
  <c r="Y44" i="4" s="1"/>
  <c r="AA44" i="4"/>
  <c r="X28" i="4"/>
  <c r="Y28" i="4" s="1"/>
  <c r="AA28" i="4"/>
  <c r="AA12" i="4"/>
  <c r="X12" i="4"/>
  <c r="Y12" i="4" s="1"/>
  <c r="H18" i="4"/>
  <c r="I18" i="4" s="1"/>
  <c r="K18" i="4"/>
  <c r="J18" i="4"/>
  <c r="AA39" i="4"/>
  <c r="X39" i="4"/>
  <c r="Y39" i="4" s="1"/>
  <c r="X54" i="4"/>
  <c r="Y54" i="4" s="1"/>
  <c r="AA54" i="4"/>
  <c r="X22" i="4"/>
  <c r="Y22" i="4" s="1"/>
  <c r="AA22" i="4"/>
  <c r="AA49" i="4"/>
  <c r="X49" i="4"/>
  <c r="Y49" i="4" s="1"/>
  <c r="AA33" i="4"/>
  <c r="X33" i="4"/>
  <c r="Y33" i="4" s="1"/>
  <c r="AA17" i="4"/>
  <c r="X17" i="4"/>
  <c r="Y17" i="4" s="1"/>
  <c r="X51" i="4"/>
  <c r="Y51" i="4" s="1"/>
  <c r="AA51" i="4"/>
  <c r="X19" i="4"/>
  <c r="Y19" i="4" s="1"/>
  <c r="AA19" i="4"/>
  <c r="X42" i="4"/>
  <c r="Y42" i="4" s="1"/>
  <c r="AA42" i="4"/>
  <c r="X10" i="4"/>
  <c r="Y10" i="4" s="1"/>
  <c r="AA10" i="4"/>
  <c r="AA40" i="4"/>
  <c r="X40" i="4"/>
  <c r="Y40" i="4" s="1"/>
  <c r="X24" i="4"/>
  <c r="Y24" i="4" s="1"/>
  <c r="AA24" i="4"/>
  <c r="X8" i="4"/>
  <c r="Y8" i="4" s="1"/>
  <c r="AA8" i="4"/>
  <c r="AA30" i="4"/>
  <c r="X30" i="4"/>
  <c r="Y30" i="4" s="1"/>
  <c r="X50" i="4"/>
  <c r="Y50" i="4" s="1"/>
  <c r="AA50" i="4"/>
  <c r="AA31" i="4"/>
  <c r="X31" i="4"/>
  <c r="Y31" i="4" s="1"/>
  <c r="X46" i="4"/>
  <c r="Y46" i="4" s="1"/>
  <c r="AA46" i="4"/>
  <c r="AA14" i="4"/>
  <c r="X14" i="4"/>
  <c r="Y14" i="4" s="1"/>
  <c r="X45" i="4"/>
  <c r="Y45" i="4" s="1"/>
  <c r="AA45" i="4"/>
  <c r="X29" i="4"/>
  <c r="Y29" i="4" s="1"/>
  <c r="AA29" i="4"/>
  <c r="X13" i="4"/>
  <c r="Y13" i="4" s="1"/>
  <c r="AA13" i="4"/>
  <c r="X43" i="4"/>
  <c r="Y43" i="4" s="1"/>
  <c r="AA43" i="4"/>
  <c r="AA15" i="4"/>
  <c r="X15" i="4"/>
  <c r="Y15" i="4" s="1"/>
  <c r="X34" i="4"/>
  <c r="Y34" i="4" s="1"/>
  <c r="AA34" i="4"/>
  <c r="X52" i="4"/>
  <c r="Y52" i="4" s="1"/>
  <c r="AA52" i="4"/>
  <c r="X36" i="4"/>
  <c r="Y36" i="4" s="1"/>
  <c r="AA36" i="4"/>
  <c r="AA20" i="4"/>
  <c r="X20" i="4"/>
  <c r="Y20" i="4" s="1"/>
  <c r="AA5" i="4"/>
  <c r="X5" i="4"/>
  <c r="Y5" i="4" s="1"/>
  <c r="J19" i="4"/>
  <c r="K19" i="4"/>
  <c r="H19" i="4"/>
  <c r="I19" i="4" s="1"/>
  <c r="X23" i="4"/>
  <c r="Y23" i="4" s="1"/>
  <c r="AA23" i="4"/>
  <c r="X38" i="4"/>
  <c r="Y38" i="4" s="1"/>
  <c r="AA38" i="4"/>
  <c r="X6" i="4"/>
  <c r="Y6" i="4" s="1"/>
  <c r="AA6" i="4"/>
  <c r="AA41" i="4"/>
  <c r="X41" i="4"/>
  <c r="Y41" i="4" s="1"/>
  <c r="X25" i="4"/>
  <c r="Y25" i="4" s="1"/>
  <c r="AA25" i="4"/>
  <c r="X9" i="4"/>
  <c r="Y9" i="4" s="1"/>
  <c r="AA9" i="4"/>
  <c r="X35" i="4"/>
  <c r="Y35" i="4" s="1"/>
  <c r="AA35" i="4"/>
  <c r="X7" i="4"/>
  <c r="Y7" i="4" s="1"/>
  <c r="AA7" i="4"/>
  <c r="X26" i="4"/>
  <c r="Y26" i="4" s="1"/>
  <c r="AA26" i="4"/>
  <c r="AA48" i="4"/>
  <c r="X48" i="4"/>
  <c r="Y48" i="4" s="1"/>
  <c r="AA32" i="4"/>
  <c r="X32" i="4"/>
  <c r="Y32" i="4" s="1"/>
  <c r="AA16" i="4"/>
  <c r="X16" i="4"/>
  <c r="Y16" i="4" s="1"/>
  <c r="Z52" i="4" l="1"/>
  <c r="AC52" i="4" s="1"/>
  <c r="AB52" i="4"/>
  <c r="Z45" i="4"/>
  <c r="AB45" i="4"/>
  <c r="AC45" i="4" s="1"/>
  <c r="AB8" i="4"/>
  <c r="Z8" i="4"/>
  <c r="AB51" i="4"/>
  <c r="Z51" i="4"/>
  <c r="AC51" i="4" s="1"/>
  <c r="AB27" i="4"/>
  <c r="Z27" i="4"/>
  <c r="AB11" i="4"/>
  <c r="Z11" i="4"/>
  <c r="AC11" i="4" s="1"/>
  <c r="AB26" i="4"/>
  <c r="Z26" i="4"/>
  <c r="AB35" i="4"/>
  <c r="Z35" i="4"/>
  <c r="AC35" i="4" s="1"/>
  <c r="Z25" i="4"/>
  <c r="AC25" i="4" s="1"/>
  <c r="AB25" i="4"/>
  <c r="AB6" i="4"/>
  <c r="Z6" i="4"/>
  <c r="AC6" i="4" s="1"/>
  <c r="AB23" i="4"/>
  <c r="Z23" i="4"/>
  <c r="Z5" i="4"/>
  <c r="AB5" i="4"/>
  <c r="AB14" i="4"/>
  <c r="Z14" i="4"/>
  <c r="AB31" i="4"/>
  <c r="Z31" i="4"/>
  <c r="AC31" i="4" s="1"/>
  <c r="Z30" i="4"/>
  <c r="AC30" i="4" s="1"/>
  <c r="AB30" i="4"/>
  <c r="AB17" i="4"/>
  <c r="Z17" i="4"/>
  <c r="AC17" i="4" s="1"/>
  <c r="Z49" i="4"/>
  <c r="AC49" i="4" s="1"/>
  <c r="AB49" i="4"/>
  <c r="Z44" i="4"/>
  <c r="AB44" i="4"/>
  <c r="Z37" i="4"/>
  <c r="AB37" i="4"/>
  <c r="Z13" i="4"/>
  <c r="AB13" i="4"/>
  <c r="AB50" i="4"/>
  <c r="Z50" i="4"/>
  <c r="Z22" i="4"/>
  <c r="AB22" i="4"/>
  <c r="AB48" i="4"/>
  <c r="Z48" i="4"/>
  <c r="Z41" i="4"/>
  <c r="AB41" i="4"/>
  <c r="AC41" i="4" s="1"/>
  <c r="AB36" i="4"/>
  <c r="Z36" i="4"/>
  <c r="AB34" i="4"/>
  <c r="Z34" i="4"/>
  <c r="AC34" i="4" s="1"/>
  <c r="AB43" i="4"/>
  <c r="Z43" i="4"/>
  <c r="Z29" i="4"/>
  <c r="AB29" i="4"/>
  <c r="AB24" i="4"/>
  <c r="Z24" i="4"/>
  <c r="Z10" i="4"/>
  <c r="AB10" i="4"/>
  <c r="AB19" i="4"/>
  <c r="Z19" i="4"/>
  <c r="AC19" i="4" s="1"/>
  <c r="AB54" i="4"/>
  <c r="Z54" i="4"/>
  <c r="AC54" i="4" s="1"/>
  <c r="Z21" i="4"/>
  <c r="AB21" i="4"/>
  <c r="AB47" i="4"/>
  <c r="Z47" i="4"/>
  <c r="AC47" i="4" s="1"/>
  <c r="AB32" i="4"/>
  <c r="Z32" i="4"/>
  <c r="AC32" i="4" s="1"/>
  <c r="Z46" i="4"/>
  <c r="AB46" i="4"/>
  <c r="AB42" i="4"/>
  <c r="Z42" i="4"/>
  <c r="AC42" i="4" s="1"/>
  <c r="AB12" i="4"/>
  <c r="Z12" i="4"/>
  <c r="AC12" i="4" s="1"/>
  <c r="AB16" i="4"/>
  <c r="Z16" i="4"/>
  <c r="AC16" i="4" s="1"/>
  <c r="AB7" i="4"/>
  <c r="Z7" i="4"/>
  <c r="AC7" i="4" s="1"/>
  <c r="Z9" i="4"/>
  <c r="AB9" i="4"/>
  <c r="AB38" i="4"/>
  <c r="Z38" i="4"/>
  <c r="AC38" i="4" s="1"/>
  <c r="AB20" i="4"/>
  <c r="Z20" i="4"/>
  <c r="AC20" i="4" s="1"/>
  <c r="AB15" i="4"/>
  <c r="Z15" i="4"/>
  <c r="AC15" i="4" s="1"/>
  <c r="Z40" i="4"/>
  <c r="AB40" i="4"/>
  <c r="Z33" i="4"/>
  <c r="AB33" i="4"/>
  <c r="AB39" i="4"/>
  <c r="Z39" i="4"/>
  <c r="AC39" i="4" s="1"/>
  <c r="AB28" i="4"/>
  <c r="Z28" i="4"/>
  <c r="AC28" i="4" s="1"/>
  <c r="Z18" i="4"/>
  <c r="AB18" i="4"/>
  <c r="Z53" i="4"/>
  <c r="AB53" i="4"/>
  <c r="AC53" i="4" s="1"/>
  <c r="G13" i="4"/>
  <c r="H13" i="4" l="1"/>
  <c r="F6" i="4"/>
  <c r="G14" i="4"/>
  <c r="AC33" i="4"/>
  <c r="AC46" i="4"/>
  <c r="AC10" i="4"/>
  <c r="AC29" i="4"/>
  <c r="AC22" i="4"/>
  <c r="AC13" i="4"/>
  <c r="AC44" i="4"/>
  <c r="AC5" i="4"/>
  <c r="AC24" i="4"/>
  <c r="AC43" i="4"/>
  <c r="AC36" i="4"/>
  <c r="AC48" i="4"/>
  <c r="AC50" i="4"/>
  <c r="AC37" i="4"/>
  <c r="AC14" i="4"/>
  <c r="AC23" i="4"/>
  <c r="AC26" i="4"/>
  <c r="AC27" i="4"/>
  <c r="AC8" i="4"/>
  <c r="AC18" i="4"/>
  <c r="AC40" i="4"/>
  <c r="AC9" i="4"/>
  <c r="AC21" i="4"/>
  <c r="H14" i="4" l="1"/>
  <c r="F8" i="4" s="1"/>
  <c r="I7" i="4"/>
  <c r="I5" i="4"/>
  <c r="I6" i="4" s="1"/>
  <c r="F7" i="4"/>
  <c r="F5" i="4"/>
  <c r="I13" i="4"/>
  <c r="J13" i="4" s="1"/>
  <c r="K13" i="4" s="1"/>
</calcChain>
</file>

<file path=xl/sharedStrings.xml><?xml version="1.0" encoding="utf-8"?>
<sst xmlns="http://schemas.openxmlformats.org/spreadsheetml/2006/main" count="210" uniqueCount="89">
  <si>
    <t>Exam Result (%)</t>
  </si>
  <si>
    <t>Attendance (%)</t>
  </si>
  <si>
    <t>Observation</t>
  </si>
  <si>
    <t>Vaccinated</t>
  </si>
  <si>
    <t>Contracted Virus</t>
  </si>
  <si>
    <t>Yes</t>
  </si>
  <si>
    <t>No</t>
  </si>
  <si>
    <t>Did not contract virus</t>
  </si>
  <si>
    <t>Not Vaccinated</t>
  </si>
  <si>
    <t>Contingency Table</t>
  </si>
  <si>
    <t>Total</t>
  </si>
  <si>
    <t>Row Labels</t>
  </si>
  <si>
    <t>Grand Total</t>
  </si>
  <si>
    <t>Column Labels</t>
  </si>
  <si>
    <t>Count of Contracted Virus</t>
  </si>
  <si>
    <t>Expected Values</t>
  </si>
  <si>
    <t>Fisher Exact Test</t>
  </si>
  <si>
    <t>p-value</t>
  </si>
  <si>
    <t>Chi-Square Test</t>
  </si>
  <si>
    <t>SUMMARY</t>
  </si>
  <si>
    <t>Alpha</t>
  </si>
  <si>
    <t>Count</t>
  </si>
  <si>
    <t>Rows</t>
  </si>
  <si>
    <t>Cols</t>
  </si>
  <si>
    <t>df</t>
  </si>
  <si>
    <t>CHI-SQUARE</t>
  </si>
  <si>
    <t xml:space="preserve"> </t>
  </si>
  <si>
    <t>chi-sq</t>
  </si>
  <si>
    <t>x-crit</t>
  </si>
  <si>
    <t>sig</t>
  </si>
  <si>
    <t>Cramer V</t>
  </si>
  <si>
    <t>Odds Ratio</t>
  </si>
  <si>
    <t>Pearson's</t>
  </si>
  <si>
    <t>Max likelihood</t>
  </si>
  <si>
    <t>Correlation Coefficients</t>
  </si>
  <si>
    <t>Pearson</t>
  </si>
  <si>
    <t>Spearman</t>
  </si>
  <si>
    <t>Kendall</t>
  </si>
  <si>
    <t>Tails</t>
  </si>
  <si>
    <t>Pearson's coeff (t test)</t>
  </si>
  <si>
    <t>corr</t>
  </si>
  <si>
    <t>std err</t>
  </si>
  <si>
    <t>Pearson's coeff (Fisher)</t>
  </si>
  <si>
    <t>Hyp rho</t>
  </si>
  <si>
    <t>Regression Analysis</t>
  </si>
  <si>
    <t>OVERALL FIT</t>
  </si>
  <si>
    <t>Multiple R</t>
  </si>
  <si>
    <t>R Square</t>
  </si>
  <si>
    <t>Adjusted R Square</t>
  </si>
  <si>
    <t>Standard Error</t>
  </si>
  <si>
    <t>Observations</t>
  </si>
  <si>
    <t>AIC</t>
  </si>
  <si>
    <t>AICc</t>
  </si>
  <si>
    <t>SBC</t>
  </si>
  <si>
    <t>ANOVA</t>
  </si>
  <si>
    <t>SS</t>
  </si>
  <si>
    <t>MS</t>
  </si>
  <si>
    <t>F</t>
  </si>
  <si>
    <t>Regression</t>
  </si>
  <si>
    <t>Residual</t>
  </si>
  <si>
    <t>coeff</t>
  </si>
  <si>
    <t>t stat</t>
  </si>
  <si>
    <t>lower</t>
  </si>
  <si>
    <t>upper</t>
  </si>
  <si>
    <t>Intercept</t>
  </si>
  <si>
    <t>Durbin-Watson Test</t>
  </si>
  <si>
    <t>Cook's D</t>
  </si>
  <si>
    <t>Obs</t>
  </si>
  <si>
    <t>Pred Y</t>
  </si>
  <si>
    <t>Leverage</t>
  </si>
  <si>
    <t>SResidual</t>
  </si>
  <si>
    <t>Mod MSE</t>
  </si>
  <si>
    <t>RStudent</t>
  </si>
  <si>
    <t>T-Test</t>
  </si>
  <si>
    <t>DFFITS</t>
  </si>
  <si>
    <t>SSE</t>
  </si>
  <si>
    <t>dfE</t>
  </si>
  <si>
    <t>MSE</t>
  </si>
  <si>
    <t>k</t>
  </si>
  <si>
    <t>Students</t>
  </si>
  <si>
    <t>Student A</t>
  </si>
  <si>
    <t>Student B</t>
  </si>
  <si>
    <t>Student C</t>
  </si>
  <si>
    <t>Shapiro-Wilk Test</t>
  </si>
  <si>
    <t>W-stat</t>
  </si>
  <si>
    <t>alpha</t>
  </si>
  <si>
    <t>normal</t>
  </si>
  <si>
    <t>d'Agostino-Pearson</t>
  </si>
  <si>
    <t>DA-stat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</si>
</sst>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right/>
      <top style="thin">
        <color indexed="64"/>
      </top>
      <bottom style="double">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right/>
      <top style="double">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bottom style="double">
        <color indexed="64"/>
      </bottom>
      <diagonal/>
    </border>
    <border>
      <left/>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horizontal="center"/>
    </xf>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xf>
    <xf numFmtId="0" fontId="0" fillId="0" borderId="1" xfId="0" applyBorder="1" applyAlignment="1">
      <alignment horizontal="center"/>
    </xf>
    <xf numFmtId="0" fontId="0" fillId="0" borderId="0" xfId="0" pivotButton="1"/>
    <xf numFmtId="0" fontId="0" fillId="0" borderId="0" xfId="0" applyAlignment="1">
      <alignment horizontal="left"/>
    </xf>
    <xf numFmtId="0" fontId="0" fillId="0" borderId="4" xfId="0" applyBorder="1"/>
    <xf numFmtId="0" fontId="0" fillId="0" borderId="5" xfId="0" applyBorder="1"/>
    <xf numFmtId="0" fontId="0" fillId="0" borderId="6" xfId="0" applyBorder="1"/>
    <xf numFmtId="0" fontId="0" fillId="0" borderId="2" xfId="0" applyBorder="1"/>
    <xf numFmtId="0" fontId="3" fillId="0" borderId="7" xfId="0" applyFont="1" applyBorder="1" applyAlignment="1">
      <alignment horizontal="center"/>
    </xf>
    <xf numFmtId="0" fontId="0" fillId="0" borderId="8" xfId="0" applyBorder="1"/>
    <xf numFmtId="0" fontId="0" fillId="0" borderId="9" xfId="0" applyBorder="1"/>
    <xf numFmtId="0" fontId="3" fillId="0" borderId="10" xfId="0" applyFont="1" applyBorder="1" applyAlignment="1">
      <alignment horizontal="center"/>
    </xf>
    <xf numFmtId="0" fontId="0" fillId="0" borderId="11" xfId="0" applyBorder="1"/>
    <xf numFmtId="0" fontId="0" fillId="0" borderId="12" xfId="0" applyBorder="1"/>
    <xf numFmtId="0" fontId="0" fillId="0" borderId="13" xfId="0"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0" fillId="2" borderId="0" xfId="0" applyFill="1"/>
    <xf numFmtId="0" fontId="0" fillId="2" borderId="3" xfId="0" applyFill="1" applyBorder="1"/>
    <xf numFmtId="0" fontId="0" fillId="2" borderId="2" xfId="0" applyFill="1" applyBorder="1"/>
    <xf numFmtId="0" fontId="0" fillId="0" borderId="14" xfId="0" applyBorder="1"/>
    <xf numFmtId="0" fontId="0" fillId="0" borderId="15" xfId="0" applyBorder="1"/>
    <xf numFmtId="0" fontId="0" fillId="0" borderId="13" xfId="0" applyBorder="1" applyAlignment="1">
      <alignment horizontal="right"/>
    </xf>
    <xf numFmtId="0" fontId="3" fillId="0" borderId="15" xfId="0" applyFont="1" applyBorder="1" applyAlignment="1">
      <alignment horizontal="center"/>
    </xf>
    <xf numFmtId="0" fontId="0" fillId="0" borderId="15" xfId="0" applyBorder="1" applyAlignment="1">
      <alignment horizontal="righ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A!$C$1</c:f>
              <c:strCache>
                <c:ptCount val="1"/>
                <c:pt idx="0">
                  <c:v>Exam Result (%)</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30931014873140855"/>
                  <c:y val="-8.424650043744531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A!$B$2:$B$51</c:f>
              <c:numCache>
                <c:formatCode>General</c:formatCode>
                <c:ptCount val="50"/>
                <c:pt idx="0">
                  <c:v>10</c:v>
                </c:pt>
                <c:pt idx="1">
                  <c:v>20</c:v>
                </c:pt>
                <c:pt idx="2">
                  <c:v>22</c:v>
                </c:pt>
                <c:pt idx="3">
                  <c:v>27</c:v>
                </c:pt>
                <c:pt idx="4">
                  <c:v>29</c:v>
                </c:pt>
                <c:pt idx="5">
                  <c:v>31</c:v>
                </c:pt>
                <c:pt idx="6">
                  <c:v>33</c:v>
                </c:pt>
                <c:pt idx="7">
                  <c:v>34</c:v>
                </c:pt>
                <c:pt idx="8">
                  <c:v>36</c:v>
                </c:pt>
                <c:pt idx="9">
                  <c:v>39</c:v>
                </c:pt>
                <c:pt idx="10">
                  <c:v>40</c:v>
                </c:pt>
                <c:pt idx="11">
                  <c:v>42</c:v>
                </c:pt>
                <c:pt idx="12">
                  <c:v>45</c:v>
                </c:pt>
                <c:pt idx="13">
                  <c:v>45</c:v>
                </c:pt>
                <c:pt idx="14">
                  <c:v>49</c:v>
                </c:pt>
                <c:pt idx="15">
                  <c:v>50</c:v>
                </c:pt>
                <c:pt idx="16">
                  <c:v>53</c:v>
                </c:pt>
                <c:pt idx="17">
                  <c:v>55</c:v>
                </c:pt>
                <c:pt idx="18">
                  <c:v>56</c:v>
                </c:pt>
                <c:pt idx="19">
                  <c:v>57</c:v>
                </c:pt>
                <c:pt idx="20">
                  <c:v>59</c:v>
                </c:pt>
                <c:pt idx="21">
                  <c:v>60</c:v>
                </c:pt>
                <c:pt idx="22">
                  <c:v>60</c:v>
                </c:pt>
                <c:pt idx="23">
                  <c:v>62</c:v>
                </c:pt>
                <c:pt idx="24">
                  <c:v>63</c:v>
                </c:pt>
                <c:pt idx="25">
                  <c:v>63</c:v>
                </c:pt>
                <c:pt idx="26">
                  <c:v>65</c:v>
                </c:pt>
                <c:pt idx="27">
                  <c:v>65</c:v>
                </c:pt>
                <c:pt idx="28">
                  <c:v>66</c:v>
                </c:pt>
                <c:pt idx="29">
                  <c:v>68</c:v>
                </c:pt>
                <c:pt idx="30">
                  <c:v>69</c:v>
                </c:pt>
                <c:pt idx="31">
                  <c:v>70</c:v>
                </c:pt>
                <c:pt idx="32">
                  <c:v>70</c:v>
                </c:pt>
                <c:pt idx="33">
                  <c:v>72</c:v>
                </c:pt>
                <c:pt idx="34">
                  <c:v>72</c:v>
                </c:pt>
                <c:pt idx="35">
                  <c:v>74</c:v>
                </c:pt>
                <c:pt idx="36">
                  <c:v>75</c:v>
                </c:pt>
                <c:pt idx="37">
                  <c:v>75</c:v>
                </c:pt>
                <c:pt idx="38">
                  <c:v>76</c:v>
                </c:pt>
                <c:pt idx="39">
                  <c:v>78</c:v>
                </c:pt>
                <c:pt idx="40">
                  <c:v>78</c:v>
                </c:pt>
                <c:pt idx="41">
                  <c:v>80</c:v>
                </c:pt>
                <c:pt idx="42">
                  <c:v>82</c:v>
                </c:pt>
                <c:pt idx="43">
                  <c:v>83</c:v>
                </c:pt>
                <c:pt idx="44">
                  <c:v>84</c:v>
                </c:pt>
                <c:pt idx="45">
                  <c:v>84</c:v>
                </c:pt>
                <c:pt idx="46">
                  <c:v>87</c:v>
                </c:pt>
                <c:pt idx="47">
                  <c:v>88</c:v>
                </c:pt>
                <c:pt idx="48">
                  <c:v>90</c:v>
                </c:pt>
                <c:pt idx="49">
                  <c:v>91</c:v>
                </c:pt>
              </c:numCache>
            </c:numRef>
          </c:xVal>
          <c:yVal>
            <c:numRef>
              <c:f>A!$C$2:$C$51</c:f>
              <c:numCache>
                <c:formatCode>General</c:formatCode>
                <c:ptCount val="50"/>
                <c:pt idx="0">
                  <c:v>7</c:v>
                </c:pt>
                <c:pt idx="1">
                  <c:v>11</c:v>
                </c:pt>
                <c:pt idx="2">
                  <c:v>15</c:v>
                </c:pt>
                <c:pt idx="3">
                  <c:v>29</c:v>
                </c:pt>
                <c:pt idx="4">
                  <c:v>34</c:v>
                </c:pt>
                <c:pt idx="5">
                  <c:v>23</c:v>
                </c:pt>
                <c:pt idx="6">
                  <c:v>39</c:v>
                </c:pt>
                <c:pt idx="7">
                  <c:v>30</c:v>
                </c:pt>
                <c:pt idx="8">
                  <c:v>19</c:v>
                </c:pt>
                <c:pt idx="9">
                  <c:v>36</c:v>
                </c:pt>
                <c:pt idx="10">
                  <c:v>34</c:v>
                </c:pt>
                <c:pt idx="11">
                  <c:v>52</c:v>
                </c:pt>
                <c:pt idx="12">
                  <c:v>53</c:v>
                </c:pt>
                <c:pt idx="13">
                  <c:v>51</c:v>
                </c:pt>
                <c:pt idx="14">
                  <c:v>38</c:v>
                </c:pt>
                <c:pt idx="15">
                  <c:v>41</c:v>
                </c:pt>
                <c:pt idx="16">
                  <c:v>51</c:v>
                </c:pt>
                <c:pt idx="17">
                  <c:v>67</c:v>
                </c:pt>
                <c:pt idx="18">
                  <c:v>59</c:v>
                </c:pt>
                <c:pt idx="19">
                  <c:v>47</c:v>
                </c:pt>
                <c:pt idx="20">
                  <c:v>69</c:v>
                </c:pt>
                <c:pt idx="21">
                  <c:v>58</c:v>
                </c:pt>
                <c:pt idx="22">
                  <c:v>51</c:v>
                </c:pt>
                <c:pt idx="23">
                  <c:v>70</c:v>
                </c:pt>
                <c:pt idx="24">
                  <c:v>63</c:v>
                </c:pt>
                <c:pt idx="25">
                  <c:v>53</c:v>
                </c:pt>
                <c:pt idx="26">
                  <c:v>65</c:v>
                </c:pt>
                <c:pt idx="27">
                  <c:v>67</c:v>
                </c:pt>
                <c:pt idx="28">
                  <c:v>53</c:v>
                </c:pt>
                <c:pt idx="29">
                  <c:v>57</c:v>
                </c:pt>
                <c:pt idx="30">
                  <c:v>77</c:v>
                </c:pt>
                <c:pt idx="31">
                  <c:v>71</c:v>
                </c:pt>
                <c:pt idx="32">
                  <c:v>71</c:v>
                </c:pt>
                <c:pt idx="33">
                  <c:v>73</c:v>
                </c:pt>
                <c:pt idx="34">
                  <c:v>78</c:v>
                </c:pt>
                <c:pt idx="35">
                  <c:v>70</c:v>
                </c:pt>
                <c:pt idx="36">
                  <c:v>76</c:v>
                </c:pt>
                <c:pt idx="37">
                  <c:v>78</c:v>
                </c:pt>
                <c:pt idx="38">
                  <c:v>80</c:v>
                </c:pt>
                <c:pt idx="39">
                  <c:v>90</c:v>
                </c:pt>
                <c:pt idx="40">
                  <c:v>83</c:v>
                </c:pt>
                <c:pt idx="41">
                  <c:v>88</c:v>
                </c:pt>
                <c:pt idx="42">
                  <c:v>88</c:v>
                </c:pt>
                <c:pt idx="43">
                  <c:v>92</c:v>
                </c:pt>
                <c:pt idx="44">
                  <c:v>94</c:v>
                </c:pt>
                <c:pt idx="45">
                  <c:v>93</c:v>
                </c:pt>
                <c:pt idx="46">
                  <c:v>88</c:v>
                </c:pt>
                <c:pt idx="47">
                  <c:v>96</c:v>
                </c:pt>
                <c:pt idx="48">
                  <c:v>93</c:v>
                </c:pt>
                <c:pt idx="49">
                  <c:v>98</c:v>
                </c:pt>
              </c:numCache>
            </c:numRef>
          </c:yVal>
          <c:smooth val="0"/>
          <c:extLst>
            <c:ext xmlns:c16="http://schemas.microsoft.com/office/drawing/2014/chart" uri="{C3380CC4-5D6E-409C-BE32-E72D297353CC}">
              <c16:uniqueId val="{00000000-3069-4D7A-99CA-E2FAE284D9AA}"/>
            </c:ext>
          </c:extLst>
        </c:ser>
        <c:dLbls>
          <c:showLegendKey val="0"/>
          <c:showVal val="0"/>
          <c:showCatName val="0"/>
          <c:showSerName val="0"/>
          <c:showPercent val="0"/>
          <c:showBubbleSize val="0"/>
        </c:dLbls>
        <c:axId val="150157983"/>
        <c:axId val="150165663"/>
      </c:scatterChart>
      <c:valAx>
        <c:axId val="1501579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1" i="0" u="none" strike="noStrike" baseline="0">
                    <a:effectLst/>
                  </a:rPr>
                  <a:t>Attendance (%)</a:t>
                </a:r>
                <a:r>
                  <a:rPr lang="en-GB" sz="1000" b="0" i="0" u="none" strike="noStrike" baseline="0"/>
                  <a:t> </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65663"/>
        <c:crosses val="autoZero"/>
        <c:crossBetween val="midCat"/>
      </c:valAx>
      <c:valAx>
        <c:axId val="15016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1" i="0" u="none" strike="noStrike" baseline="0">
                    <a:effectLst/>
                  </a:rPr>
                  <a:t>Exam Result (%)</a:t>
                </a:r>
                <a:r>
                  <a:rPr lang="en-GB" sz="1000" b="0" i="0" u="none" strike="noStrike" baseline="0"/>
                  <a:t>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579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Residuals Plot</a:t>
            </a:r>
          </a:p>
        </c:rich>
      </c:tx>
      <c:overlay val="0"/>
    </c:title>
    <c:autoTitleDeleted val="0"/>
    <c:plotArea>
      <c:layout/>
      <c:scatterChart>
        <c:scatterStyle val="lineMarker"/>
        <c:varyColors val="0"/>
        <c:ser>
          <c:idx val="0"/>
          <c:order val="0"/>
          <c:tx>
            <c:strRef>
              <c:f>B!$U$4</c:f>
              <c:strCache>
                <c:ptCount val="1"/>
                <c:pt idx="0">
                  <c:v>Residual</c:v>
                </c:pt>
              </c:strCache>
            </c:strRef>
          </c:tx>
          <c:spPr>
            <a:ln w="19050">
              <a:noFill/>
            </a:ln>
          </c:spPr>
          <c:xVal>
            <c:numRef>
              <c:f>B!$T$5:$T$54</c:f>
              <c:numCache>
                <c:formatCode>General</c:formatCode>
                <c:ptCount val="50"/>
                <c:pt idx="0">
                  <c:v>3.4797876311266922</c:v>
                </c:pt>
                <c:pt idx="1">
                  <c:v>14.942360630496818</c:v>
                </c:pt>
                <c:pt idx="2">
                  <c:v>17.234875230370843</c:v>
                </c:pt>
                <c:pt idx="3">
                  <c:v>22.966161730055909</c:v>
                </c:pt>
                <c:pt idx="4">
                  <c:v>25.258676329929934</c:v>
                </c:pt>
                <c:pt idx="5">
                  <c:v>27.551190929803958</c:v>
                </c:pt>
                <c:pt idx="6">
                  <c:v>29.843705529677983</c:v>
                </c:pt>
                <c:pt idx="7">
                  <c:v>30.989962829614996</c:v>
                </c:pt>
                <c:pt idx="8">
                  <c:v>33.28247742948902</c:v>
                </c:pt>
                <c:pt idx="9">
                  <c:v>36.721249329300058</c:v>
                </c:pt>
                <c:pt idx="10">
                  <c:v>37.86750662923707</c:v>
                </c:pt>
                <c:pt idx="11">
                  <c:v>40.160021229111095</c:v>
                </c:pt>
                <c:pt idx="12">
                  <c:v>43.598793128922132</c:v>
                </c:pt>
                <c:pt idx="13">
                  <c:v>43.598793128922132</c:v>
                </c:pt>
                <c:pt idx="14">
                  <c:v>48.183822328670189</c:v>
                </c:pt>
                <c:pt idx="15">
                  <c:v>49.330079628607201</c:v>
                </c:pt>
                <c:pt idx="16">
                  <c:v>52.768851528418239</c:v>
                </c:pt>
                <c:pt idx="17">
                  <c:v>55.061366128292264</c:v>
                </c:pt>
                <c:pt idx="18">
                  <c:v>56.207623428229276</c:v>
                </c:pt>
                <c:pt idx="19">
                  <c:v>57.353880728166281</c:v>
                </c:pt>
                <c:pt idx="20">
                  <c:v>59.646395328040306</c:v>
                </c:pt>
                <c:pt idx="21">
                  <c:v>60.792652627977326</c:v>
                </c:pt>
                <c:pt idx="22">
                  <c:v>60.792652627977326</c:v>
                </c:pt>
                <c:pt idx="23">
                  <c:v>63.08516722785135</c:v>
                </c:pt>
                <c:pt idx="24">
                  <c:v>64.231424527788363</c:v>
                </c:pt>
                <c:pt idx="25">
                  <c:v>64.231424527788363</c:v>
                </c:pt>
                <c:pt idx="26">
                  <c:v>66.523939127662402</c:v>
                </c:pt>
                <c:pt idx="27">
                  <c:v>66.523939127662402</c:v>
                </c:pt>
                <c:pt idx="28">
                  <c:v>67.670196427599393</c:v>
                </c:pt>
                <c:pt idx="29">
                  <c:v>69.962711027473432</c:v>
                </c:pt>
                <c:pt idx="30">
                  <c:v>71.108968327410452</c:v>
                </c:pt>
                <c:pt idx="31">
                  <c:v>72.255225627347443</c:v>
                </c:pt>
                <c:pt idx="32">
                  <c:v>72.255225627347443</c:v>
                </c:pt>
                <c:pt idx="33">
                  <c:v>74.547740227221482</c:v>
                </c:pt>
                <c:pt idx="34">
                  <c:v>74.547740227221482</c:v>
                </c:pt>
                <c:pt idx="35">
                  <c:v>76.840254827095492</c:v>
                </c:pt>
                <c:pt idx="36">
                  <c:v>77.986512127032512</c:v>
                </c:pt>
                <c:pt idx="37">
                  <c:v>77.986512127032512</c:v>
                </c:pt>
                <c:pt idx="38">
                  <c:v>79.132769426969531</c:v>
                </c:pt>
                <c:pt idx="39">
                  <c:v>81.425284026843542</c:v>
                </c:pt>
                <c:pt idx="40">
                  <c:v>81.425284026843542</c:v>
                </c:pt>
                <c:pt idx="41">
                  <c:v>83.717798626717581</c:v>
                </c:pt>
                <c:pt idx="42">
                  <c:v>86.010313226591592</c:v>
                </c:pt>
                <c:pt idx="43">
                  <c:v>87.156570526528611</c:v>
                </c:pt>
                <c:pt idx="44">
                  <c:v>88.302827826465631</c:v>
                </c:pt>
                <c:pt idx="45">
                  <c:v>88.302827826465631</c:v>
                </c:pt>
                <c:pt idx="46">
                  <c:v>91.741599726276661</c:v>
                </c:pt>
                <c:pt idx="47">
                  <c:v>92.88785702621368</c:v>
                </c:pt>
                <c:pt idx="48">
                  <c:v>95.180371626087691</c:v>
                </c:pt>
                <c:pt idx="49">
                  <c:v>96.326628926024711</c:v>
                </c:pt>
              </c:numCache>
            </c:numRef>
          </c:xVal>
          <c:yVal>
            <c:numRef>
              <c:f>B!$U$5:$U$54</c:f>
              <c:numCache>
                <c:formatCode>General</c:formatCode>
                <c:ptCount val="50"/>
                <c:pt idx="0">
                  <c:v>3.5202123688733078</c:v>
                </c:pt>
                <c:pt idx="1">
                  <c:v>-3.9423606304968182</c:v>
                </c:pt>
                <c:pt idx="2">
                  <c:v>-2.234875230370843</c:v>
                </c:pt>
                <c:pt idx="3">
                  <c:v>6.0338382699440913</c:v>
                </c:pt>
                <c:pt idx="4">
                  <c:v>8.7413236700700665</c:v>
                </c:pt>
                <c:pt idx="5">
                  <c:v>-4.5511909298039583</c:v>
                </c:pt>
                <c:pt idx="6">
                  <c:v>9.1562944703220168</c:v>
                </c:pt>
                <c:pt idx="7">
                  <c:v>-0.9899628296149956</c:v>
                </c:pt>
                <c:pt idx="8">
                  <c:v>-14.28247742948902</c:v>
                </c:pt>
                <c:pt idx="9">
                  <c:v>-0.7212493293000577</c:v>
                </c:pt>
                <c:pt idx="10">
                  <c:v>-3.8675066292370701</c:v>
                </c:pt>
                <c:pt idx="11">
                  <c:v>11.839978770888905</c:v>
                </c:pt>
                <c:pt idx="12">
                  <c:v>9.4012068710778678</c:v>
                </c:pt>
                <c:pt idx="13">
                  <c:v>7.4012068710778678</c:v>
                </c:pt>
                <c:pt idx="14">
                  <c:v>-10.183822328670189</c:v>
                </c:pt>
                <c:pt idx="15">
                  <c:v>-8.3300796286072014</c:v>
                </c:pt>
                <c:pt idx="16">
                  <c:v>-1.7688515284182387</c:v>
                </c:pt>
                <c:pt idx="17">
                  <c:v>11.938633871707736</c:v>
                </c:pt>
                <c:pt idx="18">
                  <c:v>2.7923765717707241</c:v>
                </c:pt>
                <c:pt idx="19">
                  <c:v>-10.353880728166281</c:v>
                </c:pt>
                <c:pt idx="20">
                  <c:v>9.3536046719596939</c:v>
                </c:pt>
                <c:pt idx="21">
                  <c:v>-2.7926526279773256</c:v>
                </c:pt>
                <c:pt idx="22">
                  <c:v>-9.7926526279773256</c:v>
                </c:pt>
                <c:pt idx="23">
                  <c:v>6.9148327721486496</c:v>
                </c:pt>
                <c:pt idx="24">
                  <c:v>-1.2314245277883629</c:v>
                </c:pt>
                <c:pt idx="25">
                  <c:v>-11.231424527788363</c:v>
                </c:pt>
                <c:pt idx="26">
                  <c:v>-1.5239391276624019</c:v>
                </c:pt>
                <c:pt idx="27">
                  <c:v>0.47606087233759808</c:v>
                </c:pt>
                <c:pt idx="28">
                  <c:v>-14.670196427599393</c:v>
                </c:pt>
                <c:pt idx="29">
                  <c:v>-12.962711027473432</c:v>
                </c:pt>
                <c:pt idx="30">
                  <c:v>5.8910316725895484</c:v>
                </c:pt>
                <c:pt idx="31">
                  <c:v>-1.2552256273474427</c:v>
                </c:pt>
                <c:pt idx="32">
                  <c:v>-1.2552256273474427</c:v>
                </c:pt>
                <c:pt idx="33">
                  <c:v>-1.5477402272214817</c:v>
                </c:pt>
                <c:pt idx="34">
                  <c:v>3.4522597727785183</c:v>
                </c:pt>
                <c:pt idx="35">
                  <c:v>-6.8402548270954924</c:v>
                </c:pt>
                <c:pt idx="36">
                  <c:v>-1.9865121270325119</c:v>
                </c:pt>
                <c:pt idx="37">
                  <c:v>1.3487872967488101E-2</c:v>
                </c:pt>
                <c:pt idx="38">
                  <c:v>0.86723057303046858</c:v>
                </c:pt>
                <c:pt idx="39">
                  <c:v>8.5747159731564579</c:v>
                </c:pt>
                <c:pt idx="40">
                  <c:v>1.5747159731564579</c:v>
                </c:pt>
                <c:pt idx="41">
                  <c:v>4.2822013732824189</c:v>
                </c:pt>
                <c:pt idx="42">
                  <c:v>1.9896867734084083</c:v>
                </c:pt>
                <c:pt idx="43">
                  <c:v>4.8434294734713887</c:v>
                </c:pt>
                <c:pt idx="44">
                  <c:v>5.6971721735343692</c:v>
                </c:pt>
                <c:pt idx="45">
                  <c:v>4.6971721735343692</c:v>
                </c:pt>
                <c:pt idx="46">
                  <c:v>-3.7415997262766609</c:v>
                </c:pt>
                <c:pt idx="47">
                  <c:v>3.1121429737863195</c:v>
                </c:pt>
                <c:pt idx="48">
                  <c:v>-2.1803716260876911</c:v>
                </c:pt>
                <c:pt idx="49">
                  <c:v>1.6733710739752894</c:v>
                </c:pt>
              </c:numCache>
            </c:numRef>
          </c:yVal>
          <c:smooth val="0"/>
          <c:extLst>
            <c:ext xmlns:c16="http://schemas.microsoft.com/office/drawing/2014/chart" uri="{C3380CC4-5D6E-409C-BE32-E72D297353CC}">
              <c16:uniqueId val="{00000000-7A8B-43A9-BAA6-D1E782F154E0}"/>
            </c:ext>
          </c:extLst>
        </c:ser>
        <c:dLbls>
          <c:showLegendKey val="0"/>
          <c:showVal val="0"/>
          <c:showCatName val="0"/>
          <c:showSerName val="0"/>
          <c:showPercent val="0"/>
          <c:showBubbleSize val="0"/>
        </c:dLbls>
        <c:axId val="161338111"/>
        <c:axId val="161332351"/>
      </c:scatterChart>
      <c:valAx>
        <c:axId val="161338111"/>
        <c:scaling>
          <c:orientation val="minMax"/>
        </c:scaling>
        <c:delete val="0"/>
        <c:axPos val="b"/>
        <c:title>
          <c:tx>
            <c:rich>
              <a:bodyPr/>
              <a:lstStyle/>
              <a:p>
                <a:pPr>
                  <a:defRPr/>
                </a:pPr>
                <a:r>
                  <a:rPr lang="en-US"/>
                  <a:t>Fitted Values</a:t>
                </a:r>
              </a:p>
            </c:rich>
          </c:tx>
          <c:overlay val="0"/>
        </c:title>
        <c:numFmt formatCode="General" sourceLinked="1"/>
        <c:majorTickMark val="out"/>
        <c:minorTickMark val="none"/>
        <c:tickLblPos val="nextTo"/>
        <c:crossAx val="161332351"/>
        <c:crosses val="autoZero"/>
        <c:crossBetween val="midCat"/>
      </c:valAx>
      <c:valAx>
        <c:axId val="161332351"/>
        <c:scaling>
          <c:orientation val="minMax"/>
        </c:scaling>
        <c:delete val="0"/>
        <c:axPos val="l"/>
        <c:majorGridlines/>
        <c:title>
          <c:tx>
            <c:rich>
              <a:bodyPr rot="-5400000" vert="horz"/>
              <a:lstStyle/>
              <a:p>
                <a:pPr>
                  <a:defRPr/>
                </a:pPr>
                <a:r>
                  <a:rPr lang="en-US"/>
                  <a:t>Residuals</a:t>
                </a:r>
              </a:p>
            </c:rich>
          </c:tx>
          <c:overlay val="0"/>
        </c:title>
        <c:numFmt formatCode="General" sourceLinked="1"/>
        <c:majorTickMark val="out"/>
        <c:minorTickMark val="none"/>
        <c:tickLblPos val="nextTo"/>
        <c:crossAx val="16133811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Studentized Residuals Plot</a:t>
            </a:r>
          </a:p>
        </c:rich>
      </c:tx>
      <c:overlay val="0"/>
    </c:title>
    <c:autoTitleDeleted val="0"/>
    <c:plotArea>
      <c:layout/>
      <c:scatterChart>
        <c:scatterStyle val="lineMarker"/>
        <c:varyColors val="0"/>
        <c:ser>
          <c:idx val="0"/>
          <c:order val="0"/>
          <c:tx>
            <c:strRef>
              <c:f>B!$Y$4</c:f>
              <c:strCache>
                <c:ptCount val="1"/>
                <c:pt idx="0">
                  <c:v>RStudent</c:v>
                </c:pt>
              </c:strCache>
            </c:strRef>
          </c:tx>
          <c:spPr>
            <a:ln w="19050">
              <a:noFill/>
            </a:ln>
          </c:spPr>
          <c:xVal>
            <c:numRef>
              <c:f>B!$T$5:$T$54</c:f>
              <c:numCache>
                <c:formatCode>General</c:formatCode>
                <c:ptCount val="50"/>
                <c:pt idx="0">
                  <c:v>3.4797876311266922</c:v>
                </c:pt>
                <c:pt idx="1">
                  <c:v>14.942360630496818</c:v>
                </c:pt>
                <c:pt idx="2">
                  <c:v>17.234875230370843</c:v>
                </c:pt>
                <c:pt idx="3">
                  <c:v>22.966161730055909</c:v>
                </c:pt>
                <c:pt idx="4">
                  <c:v>25.258676329929934</c:v>
                </c:pt>
                <c:pt idx="5">
                  <c:v>27.551190929803958</c:v>
                </c:pt>
                <c:pt idx="6">
                  <c:v>29.843705529677983</c:v>
                </c:pt>
                <c:pt idx="7">
                  <c:v>30.989962829614996</c:v>
                </c:pt>
                <c:pt idx="8">
                  <c:v>33.28247742948902</c:v>
                </c:pt>
                <c:pt idx="9">
                  <c:v>36.721249329300058</c:v>
                </c:pt>
                <c:pt idx="10">
                  <c:v>37.86750662923707</c:v>
                </c:pt>
                <c:pt idx="11">
                  <c:v>40.160021229111095</c:v>
                </c:pt>
                <c:pt idx="12">
                  <c:v>43.598793128922132</c:v>
                </c:pt>
                <c:pt idx="13">
                  <c:v>43.598793128922132</c:v>
                </c:pt>
                <c:pt idx="14">
                  <c:v>48.183822328670189</c:v>
                </c:pt>
                <c:pt idx="15">
                  <c:v>49.330079628607201</c:v>
                </c:pt>
                <c:pt idx="16">
                  <c:v>52.768851528418239</c:v>
                </c:pt>
                <c:pt idx="17">
                  <c:v>55.061366128292264</c:v>
                </c:pt>
                <c:pt idx="18">
                  <c:v>56.207623428229276</c:v>
                </c:pt>
                <c:pt idx="19">
                  <c:v>57.353880728166281</c:v>
                </c:pt>
                <c:pt idx="20">
                  <c:v>59.646395328040306</c:v>
                </c:pt>
                <c:pt idx="21">
                  <c:v>60.792652627977326</c:v>
                </c:pt>
                <c:pt idx="22">
                  <c:v>60.792652627977326</c:v>
                </c:pt>
                <c:pt idx="23">
                  <c:v>63.08516722785135</c:v>
                </c:pt>
                <c:pt idx="24">
                  <c:v>64.231424527788363</c:v>
                </c:pt>
                <c:pt idx="25">
                  <c:v>64.231424527788363</c:v>
                </c:pt>
                <c:pt idx="26">
                  <c:v>66.523939127662402</c:v>
                </c:pt>
                <c:pt idx="27">
                  <c:v>66.523939127662402</c:v>
                </c:pt>
                <c:pt idx="28">
                  <c:v>67.670196427599393</c:v>
                </c:pt>
                <c:pt idx="29">
                  <c:v>69.962711027473432</c:v>
                </c:pt>
                <c:pt idx="30">
                  <c:v>71.108968327410452</c:v>
                </c:pt>
                <c:pt idx="31">
                  <c:v>72.255225627347443</c:v>
                </c:pt>
                <c:pt idx="32">
                  <c:v>72.255225627347443</c:v>
                </c:pt>
                <c:pt idx="33">
                  <c:v>74.547740227221482</c:v>
                </c:pt>
                <c:pt idx="34">
                  <c:v>74.547740227221482</c:v>
                </c:pt>
                <c:pt idx="35">
                  <c:v>76.840254827095492</c:v>
                </c:pt>
                <c:pt idx="36">
                  <c:v>77.986512127032512</c:v>
                </c:pt>
                <c:pt idx="37">
                  <c:v>77.986512127032512</c:v>
                </c:pt>
                <c:pt idx="38">
                  <c:v>79.132769426969531</c:v>
                </c:pt>
                <c:pt idx="39">
                  <c:v>81.425284026843542</c:v>
                </c:pt>
                <c:pt idx="40">
                  <c:v>81.425284026843542</c:v>
                </c:pt>
                <c:pt idx="41">
                  <c:v>83.717798626717581</c:v>
                </c:pt>
                <c:pt idx="42">
                  <c:v>86.010313226591592</c:v>
                </c:pt>
                <c:pt idx="43">
                  <c:v>87.156570526528611</c:v>
                </c:pt>
                <c:pt idx="44">
                  <c:v>88.302827826465631</c:v>
                </c:pt>
                <c:pt idx="45">
                  <c:v>88.302827826465631</c:v>
                </c:pt>
                <c:pt idx="46">
                  <c:v>91.741599726276661</c:v>
                </c:pt>
                <c:pt idx="47">
                  <c:v>92.88785702621368</c:v>
                </c:pt>
                <c:pt idx="48">
                  <c:v>95.180371626087691</c:v>
                </c:pt>
                <c:pt idx="49">
                  <c:v>96.326628926024711</c:v>
                </c:pt>
              </c:numCache>
            </c:numRef>
          </c:xVal>
          <c:yVal>
            <c:numRef>
              <c:f>B!$Y$5:$Y$54</c:f>
              <c:numCache>
                <c:formatCode>General</c:formatCode>
                <c:ptCount val="50"/>
                <c:pt idx="0">
                  <c:v>0.5501325002942834</c:v>
                </c:pt>
                <c:pt idx="1">
                  <c:v>-0.60150657771009974</c:v>
                </c:pt>
                <c:pt idx="2">
                  <c:v>-0.33869108395109671</c:v>
                </c:pt>
                <c:pt idx="3">
                  <c:v>0.91284798157548852</c:v>
                </c:pt>
                <c:pt idx="4">
                  <c:v>1.3309615938055235</c:v>
                </c:pt>
                <c:pt idx="5">
                  <c:v>-0.68152190289152947</c:v>
                </c:pt>
                <c:pt idx="6">
                  <c:v>1.3881178147846465</c:v>
                </c:pt>
                <c:pt idx="7">
                  <c:v>-0.14693242048418106</c:v>
                </c:pt>
                <c:pt idx="8">
                  <c:v>-2.2223098345671155</c:v>
                </c:pt>
                <c:pt idx="9">
                  <c:v>-0.10640841351888675</c:v>
                </c:pt>
                <c:pt idx="10">
                  <c:v>-0.5719164425853327</c:v>
                </c:pt>
                <c:pt idx="11">
                  <c:v>1.8005884412507556</c:v>
                </c:pt>
                <c:pt idx="12">
                  <c:v>1.4082506771049044</c:v>
                </c:pt>
                <c:pt idx="13">
                  <c:v>1.0998735856544417</c:v>
                </c:pt>
                <c:pt idx="14">
                  <c:v>-1.5270368147111182</c:v>
                </c:pt>
                <c:pt idx="15">
                  <c:v>-1.2382973249274829</c:v>
                </c:pt>
                <c:pt idx="16">
                  <c:v>-0.25862880025299534</c:v>
                </c:pt>
                <c:pt idx="17">
                  <c:v>1.8026220801011257</c:v>
                </c:pt>
                <c:pt idx="18">
                  <c:v>0.40840149348018512</c:v>
                </c:pt>
                <c:pt idx="19">
                  <c:v>-1.5495252479736943</c:v>
                </c:pt>
                <c:pt idx="20">
                  <c:v>1.3930625077481991</c:v>
                </c:pt>
                <c:pt idx="21">
                  <c:v>-0.40830863834438164</c:v>
                </c:pt>
                <c:pt idx="22">
                  <c:v>-1.4613423291867902</c:v>
                </c:pt>
                <c:pt idx="23">
                  <c:v>1.0204736137430119</c:v>
                </c:pt>
                <c:pt idx="24">
                  <c:v>-0.17983745473163817</c:v>
                </c:pt>
                <c:pt idx="25">
                  <c:v>-1.6886851809785575</c:v>
                </c:pt>
                <c:pt idx="26">
                  <c:v>-0.2226935295656845</c:v>
                </c:pt>
                <c:pt idx="27">
                  <c:v>6.9533773750769898E-2</c:v>
                </c:pt>
                <c:pt idx="28">
                  <c:v>-2.2563486518757889</c:v>
                </c:pt>
                <c:pt idx="29">
                  <c:v>-1.972031232308419</c:v>
                </c:pt>
                <c:pt idx="30">
                  <c:v>0.8685522294619219</c:v>
                </c:pt>
                <c:pt idx="31">
                  <c:v>-0.18375452106550677</c:v>
                </c:pt>
                <c:pt idx="32">
                  <c:v>-0.18375452106550677</c:v>
                </c:pt>
                <c:pt idx="33">
                  <c:v>-0.22687600363590854</c:v>
                </c:pt>
                <c:pt idx="34">
                  <c:v>0.50715577498239928</c:v>
                </c:pt>
                <c:pt idx="35">
                  <c:v>-1.0143985577692001</c:v>
                </c:pt>
                <c:pt idx="36">
                  <c:v>-0.29190506017955387</c:v>
                </c:pt>
                <c:pt idx="37">
                  <c:v>1.9801612968163079E-3</c:v>
                </c:pt>
                <c:pt idx="38">
                  <c:v>0.12744200677679365</c:v>
                </c:pt>
                <c:pt idx="39">
                  <c:v>1.2840104006553543</c:v>
                </c:pt>
                <c:pt idx="40">
                  <c:v>0.23190640835818371</c:v>
                </c:pt>
                <c:pt idx="41">
                  <c:v>0.63420470136261353</c:v>
                </c:pt>
                <c:pt idx="42">
                  <c:v>0.29433237361788839</c:v>
                </c:pt>
                <c:pt idx="43">
                  <c:v>0.7206059594964056</c:v>
                </c:pt>
                <c:pt idx="44">
                  <c:v>0.85047872535156221</c:v>
                </c:pt>
                <c:pt idx="45">
                  <c:v>0.6994763346374745</c:v>
                </c:pt>
                <c:pt idx="46">
                  <c:v>-0.5583533604771862</c:v>
                </c:pt>
                <c:pt idx="47">
                  <c:v>0.46461676833197357</c:v>
                </c:pt>
                <c:pt idx="48">
                  <c:v>-0.32612410385814716</c:v>
                </c:pt>
                <c:pt idx="49">
                  <c:v>0.25057707095024107</c:v>
                </c:pt>
              </c:numCache>
            </c:numRef>
          </c:yVal>
          <c:smooth val="0"/>
          <c:extLst>
            <c:ext xmlns:c16="http://schemas.microsoft.com/office/drawing/2014/chart" uri="{C3380CC4-5D6E-409C-BE32-E72D297353CC}">
              <c16:uniqueId val="{00000000-9BF4-4AB4-9530-214CDB58E420}"/>
            </c:ext>
          </c:extLst>
        </c:ser>
        <c:dLbls>
          <c:showLegendKey val="0"/>
          <c:showVal val="0"/>
          <c:showCatName val="0"/>
          <c:showSerName val="0"/>
          <c:showPercent val="0"/>
          <c:showBubbleSize val="0"/>
        </c:dLbls>
        <c:axId val="161314111"/>
        <c:axId val="161320831"/>
      </c:scatterChart>
      <c:valAx>
        <c:axId val="161314111"/>
        <c:scaling>
          <c:orientation val="minMax"/>
        </c:scaling>
        <c:delete val="0"/>
        <c:axPos val="b"/>
        <c:title>
          <c:tx>
            <c:rich>
              <a:bodyPr/>
              <a:lstStyle/>
              <a:p>
                <a:pPr>
                  <a:defRPr/>
                </a:pPr>
                <a:r>
                  <a:rPr lang="en-US"/>
                  <a:t>Fitted Values</a:t>
                </a:r>
              </a:p>
            </c:rich>
          </c:tx>
          <c:overlay val="0"/>
        </c:title>
        <c:numFmt formatCode="General" sourceLinked="1"/>
        <c:majorTickMark val="out"/>
        <c:minorTickMark val="none"/>
        <c:tickLblPos val="nextTo"/>
        <c:crossAx val="161320831"/>
        <c:crosses val="autoZero"/>
        <c:crossBetween val="midCat"/>
      </c:valAx>
      <c:valAx>
        <c:axId val="161320831"/>
        <c:scaling>
          <c:orientation val="minMax"/>
        </c:scaling>
        <c:delete val="0"/>
        <c:axPos val="l"/>
        <c:majorGridlines/>
        <c:title>
          <c:tx>
            <c:rich>
              <a:bodyPr rot="-5400000" vert="horz"/>
              <a:lstStyle/>
              <a:p>
                <a:pPr>
                  <a:defRPr/>
                </a:pPr>
                <a:r>
                  <a:rPr lang="en-US"/>
                  <a:t>Studentized Residuals</a:t>
                </a:r>
              </a:p>
            </c:rich>
          </c:tx>
          <c:overlay val="0"/>
        </c:title>
        <c:numFmt formatCode="General" sourceLinked="1"/>
        <c:majorTickMark val="out"/>
        <c:minorTickMark val="none"/>
        <c:tickLblPos val="nextTo"/>
        <c:crossAx val="16131411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A!$C$1</c:f>
              <c:strCache>
                <c:ptCount val="1"/>
                <c:pt idx="0">
                  <c:v>Exam Result (%)</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30931014873140855"/>
                  <c:y val="-8.424650043744531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A!$B$2:$B$51</c:f>
              <c:numCache>
                <c:formatCode>General</c:formatCode>
                <c:ptCount val="50"/>
                <c:pt idx="0">
                  <c:v>10</c:v>
                </c:pt>
                <c:pt idx="1">
                  <c:v>20</c:v>
                </c:pt>
                <c:pt idx="2">
                  <c:v>22</c:v>
                </c:pt>
                <c:pt idx="3">
                  <c:v>27</c:v>
                </c:pt>
                <c:pt idx="4">
                  <c:v>29</c:v>
                </c:pt>
                <c:pt idx="5">
                  <c:v>31</c:v>
                </c:pt>
                <c:pt idx="6">
                  <c:v>33</c:v>
                </c:pt>
                <c:pt idx="7">
                  <c:v>34</c:v>
                </c:pt>
                <c:pt idx="8">
                  <c:v>36</c:v>
                </c:pt>
                <c:pt idx="9">
                  <c:v>39</c:v>
                </c:pt>
                <c:pt idx="10">
                  <c:v>40</c:v>
                </c:pt>
                <c:pt idx="11">
                  <c:v>42</c:v>
                </c:pt>
                <c:pt idx="12">
                  <c:v>45</c:v>
                </c:pt>
                <c:pt idx="13">
                  <c:v>45</c:v>
                </c:pt>
                <c:pt idx="14">
                  <c:v>49</c:v>
                </c:pt>
                <c:pt idx="15">
                  <c:v>50</c:v>
                </c:pt>
                <c:pt idx="16">
                  <c:v>53</c:v>
                </c:pt>
                <c:pt idx="17">
                  <c:v>55</c:v>
                </c:pt>
                <c:pt idx="18">
                  <c:v>56</c:v>
                </c:pt>
                <c:pt idx="19">
                  <c:v>57</c:v>
                </c:pt>
                <c:pt idx="20">
                  <c:v>59</c:v>
                </c:pt>
                <c:pt idx="21">
                  <c:v>60</c:v>
                </c:pt>
                <c:pt idx="22">
                  <c:v>60</c:v>
                </c:pt>
                <c:pt idx="23">
                  <c:v>62</c:v>
                </c:pt>
                <c:pt idx="24">
                  <c:v>63</c:v>
                </c:pt>
                <c:pt idx="25">
                  <c:v>63</c:v>
                </c:pt>
                <c:pt idx="26">
                  <c:v>65</c:v>
                </c:pt>
                <c:pt idx="27">
                  <c:v>65</c:v>
                </c:pt>
                <c:pt idx="28">
                  <c:v>66</c:v>
                </c:pt>
                <c:pt idx="29">
                  <c:v>68</c:v>
                </c:pt>
                <c:pt idx="30">
                  <c:v>69</c:v>
                </c:pt>
                <c:pt idx="31">
                  <c:v>70</c:v>
                </c:pt>
                <c:pt idx="32">
                  <c:v>70</c:v>
                </c:pt>
                <c:pt idx="33">
                  <c:v>72</c:v>
                </c:pt>
                <c:pt idx="34">
                  <c:v>72</c:v>
                </c:pt>
                <c:pt idx="35">
                  <c:v>74</c:v>
                </c:pt>
                <c:pt idx="36">
                  <c:v>75</c:v>
                </c:pt>
                <c:pt idx="37">
                  <c:v>75</c:v>
                </c:pt>
                <c:pt idx="38">
                  <c:v>76</c:v>
                </c:pt>
                <c:pt idx="39">
                  <c:v>78</c:v>
                </c:pt>
                <c:pt idx="40">
                  <c:v>78</c:v>
                </c:pt>
                <c:pt idx="41">
                  <c:v>80</c:v>
                </c:pt>
                <c:pt idx="42">
                  <c:v>82</c:v>
                </c:pt>
                <c:pt idx="43">
                  <c:v>83</c:v>
                </c:pt>
                <c:pt idx="44">
                  <c:v>84</c:v>
                </c:pt>
                <c:pt idx="45">
                  <c:v>84</c:v>
                </c:pt>
                <c:pt idx="46">
                  <c:v>87</c:v>
                </c:pt>
                <c:pt idx="47">
                  <c:v>88</c:v>
                </c:pt>
                <c:pt idx="48">
                  <c:v>90</c:v>
                </c:pt>
                <c:pt idx="49">
                  <c:v>91</c:v>
                </c:pt>
              </c:numCache>
            </c:numRef>
          </c:xVal>
          <c:yVal>
            <c:numRef>
              <c:f>A!$C$2:$C$51</c:f>
              <c:numCache>
                <c:formatCode>General</c:formatCode>
                <c:ptCount val="50"/>
                <c:pt idx="0">
                  <c:v>7</c:v>
                </c:pt>
                <c:pt idx="1">
                  <c:v>11</c:v>
                </c:pt>
                <c:pt idx="2">
                  <c:v>15</c:v>
                </c:pt>
                <c:pt idx="3">
                  <c:v>29</c:v>
                </c:pt>
                <c:pt idx="4">
                  <c:v>34</c:v>
                </c:pt>
                <c:pt idx="5">
                  <c:v>23</c:v>
                </c:pt>
                <c:pt idx="6">
                  <c:v>39</c:v>
                </c:pt>
                <c:pt idx="7">
                  <c:v>30</c:v>
                </c:pt>
                <c:pt idx="8">
                  <c:v>19</c:v>
                </c:pt>
                <c:pt idx="9">
                  <c:v>36</c:v>
                </c:pt>
                <c:pt idx="10">
                  <c:v>34</c:v>
                </c:pt>
                <c:pt idx="11">
                  <c:v>52</c:v>
                </c:pt>
                <c:pt idx="12">
                  <c:v>53</c:v>
                </c:pt>
                <c:pt idx="13">
                  <c:v>51</c:v>
                </c:pt>
                <c:pt idx="14">
                  <c:v>38</c:v>
                </c:pt>
                <c:pt idx="15">
                  <c:v>41</c:v>
                </c:pt>
                <c:pt idx="16">
                  <c:v>51</c:v>
                </c:pt>
                <c:pt idx="17">
                  <c:v>67</c:v>
                </c:pt>
                <c:pt idx="18">
                  <c:v>59</c:v>
                </c:pt>
                <c:pt idx="19">
                  <c:v>47</c:v>
                </c:pt>
                <c:pt idx="20">
                  <c:v>69</c:v>
                </c:pt>
                <c:pt idx="21">
                  <c:v>58</c:v>
                </c:pt>
                <c:pt idx="22">
                  <c:v>51</c:v>
                </c:pt>
                <c:pt idx="23">
                  <c:v>70</c:v>
                </c:pt>
                <c:pt idx="24">
                  <c:v>63</c:v>
                </c:pt>
                <c:pt idx="25">
                  <c:v>53</c:v>
                </c:pt>
                <c:pt idx="26">
                  <c:v>65</c:v>
                </c:pt>
                <c:pt idx="27">
                  <c:v>67</c:v>
                </c:pt>
                <c:pt idx="28">
                  <c:v>53</c:v>
                </c:pt>
                <c:pt idx="29">
                  <c:v>57</c:v>
                </c:pt>
                <c:pt idx="30">
                  <c:v>77</c:v>
                </c:pt>
                <c:pt idx="31">
                  <c:v>71</c:v>
                </c:pt>
                <c:pt idx="32">
                  <c:v>71</c:v>
                </c:pt>
                <c:pt idx="33">
                  <c:v>73</c:v>
                </c:pt>
                <c:pt idx="34">
                  <c:v>78</c:v>
                </c:pt>
                <c:pt idx="35">
                  <c:v>70</c:v>
                </c:pt>
                <c:pt idx="36">
                  <c:v>76</c:v>
                </c:pt>
                <c:pt idx="37">
                  <c:v>78</c:v>
                </c:pt>
                <c:pt idx="38">
                  <c:v>80</c:v>
                </c:pt>
                <c:pt idx="39">
                  <c:v>90</c:v>
                </c:pt>
                <c:pt idx="40">
                  <c:v>83</c:v>
                </c:pt>
                <c:pt idx="41">
                  <c:v>88</c:v>
                </c:pt>
                <c:pt idx="42">
                  <c:v>88</c:v>
                </c:pt>
                <c:pt idx="43">
                  <c:v>92</c:v>
                </c:pt>
                <c:pt idx="44">
                  <c:v>94</c:v>
                </c:pt>
                <c:pt idx="45">
                  <c:v>93</c:v>
                </c:pt>
                <c:pt idx="46">
                  <c:v>88</c:v>
                </c:pt>
                <c:pt idx="47">
                  <c:v>96</c:v>
                </c:pt>
                <c:pt idx="48">
                  <c:v>93</c:v>
                </c:pt>
                <c:pt idx="49">
                  <c:v>98</c:v>
                </c:pt>
              </c:numCache>
            </c:numRef>
          </c:yVal>
          <c:smooth val="0"/>
          <c:extLst>
            <c:ext xmlns:c16="http://schemas.microsoft.com/office/drawing/2014/chart" uri="{C3380CC4-5D6E-409C-BE32-E72D297353CC}">
              <c16:uniqueId val="{00000001-921A-481F-9DE6-75396A9C5F7F}"/>
            </c:ext>
          </c:extLst>
        </c:ser>
        <c:dLbls>
          <c:showLegendKey val="0"/>
          <c:showVal val="0"/>
          <c:showCatName val="0"/>
          <c:showSerName val="0"/>
          <c:showPercent val="0"/>
          <c:showBubbleSize val="0"/>
        </c:dLbls>
        <c:axId val="150157983"/>
        <c:axId val="150165663"/>
      </c:scatterChart>
      <c:valAx>
        <c:axId val="1501579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1" i="0" u="none" strike="noStrike" baseline="0">
                    <a:effectLst/>
                  </a:rPr>
                  <a:t>Attendance (%)</a:t>
                </a:r>
                <a:r>
                  <a:rPr lang="en-GB" sz="1000" b="0" i="0" u="none" strike="noStrike" baseline="0"/>
                  <a:t> </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65663"/>
        <c:crosses val="autoZero"/>
        <c:crossBetween val="midCat"/>
      </c:valAx>
      <c:valAx>
        <c:axId val="15016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1" i="0" u="none" strike="noStrike" baseline="0">
                    <a:effectLst/>
                  </a:rPr>
                  <a:t>Exam Result (%)</a:t>
                </a:r>
                <a:r>
                  <a:rPr lang="en-GB" sz="1000" b="0" i="0" u="none" strike="noStrike" baseline="0"/>
                  <a:t>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579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A!$C$1</c:f>
              <c:strCache>
                <c:ptCount val="1"/>
                <c:pt idx="0">
                  <c:v>Exam Result (%)</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10"/>
            <c:backward val="10"/>
            <c:dispRSqr val="1"/>
            <c:dispEq val="1"/>
            <c:trendlineLbl>
              <c:layout>
                <c:manualLayout>
                  <c:x val="-0.30931014873140855"/>
                  <c:y val="-8.424650043744531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A!$B$2:$B$51</c:f>
              <c:numCache>
                <c:formatCode>General</c:formatCode>
                <c:ptCount val="50"/>
                <c:pt idx="0">
                  <c:v>10</c:v>
                </c:pt>
                <c:pt idx="1">
                  <c:v>20</c:v>
                </c:pt>
                <c:pt idx="2">
                  <c:v>22</c:v>
                </c:pt>
                <c:pt idx="3">
                  <c:v>27</c:v>
                </c:pt>
                <c:pt idx="4">
                  <c:v>29</c:v>
                </c:pt>
                <c:pt idx="5">
                  <c:v>31</c:v>
                </c:pt>
                <c:pt idx="6">
                  <c:v>33</c:v>
                </c:pt>
                <c:pt idx="7">
                  <c:v>34</c:v>
                </c:pt>
                <c:pt idx="8">
                  <c:v>36</c:v>
                </c:pt>
                <c:pt idx="9">
                  <c:v>39</c:v>
                </c:pt>
                <c:pt idx="10">
                  <c:v>40</c:v>
                </c:pt>
                <c:pt idx="11">
                  <c:v>42</c:v>
                </c:pt>
                <c:pt idx="12">
                  <c:v>45</c:v>
                </c:pt>
                <c:pt idx="13">
                  <c:v>45</c:v>
                </c:pt>
                <c:pt idx="14">
                  <c:v>49</c:v>
                </c:pt>
                <c:pt idx="15">
                  <c:v>50</c:v>
                </c:pt>
                <c:pt idx="16">
                  <c:v>53</c:v>
                </c:pt>
                <c:pt idx="17">
                  <c:v>55</c:v>
                </c:pt>
                <c:pt idx="18">
                  <c:v>56</c:v>
                </c:pt>
                <c:pt idx="19">
                  <c:v>57</c:v>
                </c:pt>
                <c:pt idx="20">
                  <c:v>59</c:v>
                </c:pt>
                <c:pt idx="21">
                  <c:v>60</c:v>
                </c:pt>
                <c:pt idx="22">
                  <c:v>60</c:v>
                </c:pt>
                <c:pt idx="23">
                  <c:v>62</c:v>
                </c:pt>
                <c:pt idx="24">
                  <c:v>63</c:v>
                </c:pt>
                <c:pt idx="25">
                  <c:v>63</c:v>
                </c:pt>
                <c:pt idx="26">
                  <c:v>65</c:v>
                </c:pt>
                <c:pt idx="27">
                  <c:v>65</c:v>
                </c:pt>
                <c:pt idx="28">
                  <c:v>66</c:v>
                </c:pt>
                <c:pt idx="29">
                  <c:v>68</c:v>
                </c:pt>
                <c:pt idx="30">
                  <c:v>69</c:v>
                </c:pt>
                <c:pt idx="31">
                  <c:v>70</c:v>
                </c:pt>
                <c:pt idx="32">
                  <c:v>70</c:v>
                </c:pt>
                <c:pt idx="33">
                  <c:v>72</c:v>
                </c:pt>
                <c:pt idx="34">
                  <c:v>72</c:v>
                </c:pt>
                <c:pt idx="35">
                  <c:v>74</c:v>
                </c:pt>
                <c:pt idx="36">
                  <c:v>75</c:v>
                </c:pt>
                <c:pt idx="37">
                  <c:v>75</c:v>
                </c:pt>
                <c:pt idx="38">
                  <c:v>76</c:v>
                </c:pt>
                <c:pt idx="39">
                  <c:v>78</c:v>
                </c:pt>
                <c:pt idx="40">
                  <c:v>78</c:v>
                </c:pt>
                <c:pt idx="41">
                  <c:v>80</c:v>
                </c:pt>
                <c:pt idx="42">
                  <c:v>82</c:v>
                </c:pt>
                <c:pt idx="43">
                  <c:v>83</c:v>
                </c:pt>
                <c:pt idx="44">
                  <c:v>84</c:v>
                </c:pt>
                <c:pt idx="45">
                  <c:v>84</c:v>
                </c:pt>
                <c:pt idx="46">
                  <c:v>87</c:v>
                </c:pt>
                <c:pt idx="47">
                  <c:v>88</c:v>
                </c:pt>
                <c:pt idx="48">
                  <c:v>90</c:v>
                </c:pt>
                <c:pt idx="49">
                  <c:v>91</c:v>
                </c:pt>
              </c:numCache>
            </c:numRef>
          </c:xVal>
          <c:yVal>
            <c:numRef>
              <c:f>A!$C$2:$C$51</c:f>
              <c:numCache>
                <c:formatCode>General</c:formatCode>
                <c:ptCount val="50"/>
                <c:pt idx="0">
                  <c:v>7</c:v>
                </c:pt>
                <c:pt idx="1">
                  <c:v>11</c:v>
                </c:pt>
                <c:pt idx="2">
                  <c:v>15</c:v>
                </c:pt>
                <c:pt idx="3">
                  <c:v>29</c:v>
                </c:pt>
                <c:pt idx="4">
                  <c:v>34</c:v>
                </c:pt>
                <c:pt idx="5">
                  <c:v>23</c:v>
                </c:pt>
                <c:pt idx="6">
                  <c:v>39</c:v>
                </c:pt>
                <c:pt idx="7">
                  <c:v>30</c:v>
                </c:pt>
                <c:pt idx="8">
                  <c:v>19</c:v>
                </c:pt>
                <c:pt idx="9">
                  <c:v>36</c:v>
                </c:pt>
                <c:pt idx="10">
                  <c:v>34</c:v>
                </c:pt>
                <c:pt idx="11">
                  <c:v>52</c:v>
                </c:pt>
                <c:pt idx="12">
                  <c:v>53</c:v>
                </c:pt>
                <c:pt idx="13">
                  <c:v>51</c:v>
                </c:pt>
                <c:pt idx="14">
                  <c:v>38</c:v>
                </c:pt>
                <c:pt idx="15">
                  <c:v>41</c:v>
                </c:pt>
                <c:pt idx="16">
                  <c:v>51</c:v>
                </c:pt>
                <c:pt idx="17">
                  <c:v>67</c:v>
                </c:pt>
                <c:pt idx="18">
                  <c:v>59</c:v>
                </c:pt>
                <c:pt idx="19">
                  <c:v>47</c:v>
                </c:pt>
                <c:pt idx="20">
                  <c:v>69</c:v>
                </c:pt>
                <c:pt idx="21">
                  <c:v>58</c:v>
                </c:pt>
                <c:pt idx="22">
                  <c:v>51</c:v>
                </c:pt>
                <c:pt idx="23">
                  <c:v>70</c:v>
                </c:pt>
                <c:pt idx="24">
                  <c:v>63</c:v>
                </c:pt>
                <c:pt idx="25">
                  <c:v>53</c:v>
                </c:pt>
                <c:pt idx="26">
                  <c:v>65</c:v>
                </c:pt>
                <c:pt idx="27">
                  <c:v>67</c:v>
                </c:pt>
                <c:pt idx="28">
                  <c:v>53</c:v>
                </c:pt>
                <c:pt idx="29">
                  <c:v>57</c:v>
                </c:pt>
                <c:pt idx="30">
                  <c:v>77</c:v>
                </c:pt>
                <c:pt idx="31">
                  <c:v>71</c:v>
                </c:pt>
                <c:pt idx="32">
                  <c:v>71</c:v>
                </c:pt>
                <c:pt idx="33">
                  <c:v>73</c:v>
                </c:pt>
                <c:pt idx="34">
                  <c:v>78</c:v>
                </c:pt>
                <c:pt idx="35">
                  <c:v>70</c:v>
                </c:pt>
                <c:pt idx="36">
                  <c:v>76</c:v>
                </c:pt>
                <c:pt idx="37">
                  <c:v>78</c:v>
                </c:pt>
                <c:pt idx="38">
                  <c:v>80</c:v>
                </c:pt>
                <c:pt idx="39">
                  <c:v>90</c:v>
                </c:pt>
                <c:pt idx="40">
                  <c:v>83</c:v>
                </c:pt>
                <c:pt idx="41">
                  <c:v>88</c:v>
                </c:pt>
                <c:pt idx="42">
                  <c:v>88</c:v>
                </c:pt>
                <c:pt idx="43">
                  <c:v>92</c:v>
                </c:pt>
                <c:pt idx="44">
                  <c:v>94</c:v>
                </c:pt>
                <c:pt idx="45">
                  <c:v>93</c:v>
                </c:pt>
                <c:pt idx="46">
                  <c:v>88</c:v>
                </c:pt>
                <c:pt idx="47">
                  <c:v>96</c:v>
                </c:pt>
                <c:pt idx="48">
                  <c:v>93</c:v>
                </c:pt>
                <c:pt idx="49">
                  <c:v>98</c:v>
                </c:pt>
              </c:numCache>
            </c:numRef>
          </c:yVal>
          <c:smooth val="0"/>
          <c:extLst>
            <c:ext xmlns:c16="http://schemas.microsoft.com/office/drawing/2014/chart" uri="{C3380CC4-5D6E-409C-BE32-E72D297353CC}">
              <c16:uniqueId val="{00000001-5447-413B-BFAF-354741B99850}"/>
            </c:ext>
          </c:extLst>
        </c:ser>
        <c:dLbls>
          <c:showLegendKey val="0"/>
          <c:showVal val="0"/>
          <c:showCatName val="0"/>
          <c:showSerName val="0"/>
          <c:showPercent val="0"/>
          <c:showBubbleSize val="0"/>
        </c:dLbls>
        <c:axId val="150157983"/>
        <c:axId val="150165663"/>
      </c:scatterChart>
      <c:valAx>
        <c:axId val="1501579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1" i="0" u="none" strike="noStrike" baseline="0">
                    <a:effectLst/>
                  </a:rPr>
                  <a:t>Attendance (%)</a:t>
                </a:r>
                <a:r>
                  <a:rPr lang="en-GB" sz="1000" b="0" i="0" u="none" strike="noStrike" baseline="0"/>
                  <a:t> </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65663"/>
        <c:crosses val="autoZero"/>
        <c:crossBetween val="midCat"/>
      </c:valAx>
      <c:valAx>
        <c:axId val="15016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1" i="0" u="none" strike="noStrike" baseline="0">
                    <a:effectLst/>
                  </a:rPr>
                  <a:t>Exam Result (%)</a:t>
                </a:r>
                <a:r>
                  <a:rPr lang="en-GB" sz="1000" b="0" i="0" u="none" strike="noStrike" baseline="0"/>
                  <a:t>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579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19050</xdr:colOff>
      <xdr:row>2</xdr:row>
      <xdr:rowOff>142875</xdr:rowOff>
    </xdr:from>
    <xdr:to>
      <xdr:col>11</xdr:col>
      <xdr:colOff>323850</xdr:colOff>
      <xdr:row>17</xdr:row>
      <xdr:rowOff>28575</xdr:rowOff>
    </xdr:to>
    <xdr:graphicFrame macro="">
      <xdr:nvGraphicFramePr>
        <xdr:cNvPr id="3" name="Chart 2">
          <a:extLst>
            <a:ext uri="{FF2B5EF4-FFF2-40B4-BE49-F238E27FC236}">
              <a16:creationId xmlns:a16="http://schemas.microsoft.com/office/drawing/2014/main" id="{29F94D8A-3F70-7FCF-45FF-DCF1A7A890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3</xdr:row>
      <xdr:rowOff>104775</xdr:rowOff>
    </xdr:from>
    <xdr:to>
      <xdr:col>17</xdr:col>
      <xdr:colOff>276225</xdr:colOff>
      <xdr:row>24</xdr:row>
      <xdr:rowOff>28575</xdr:rowOff>
    </xdr:to>
    <xdr:sp macro="" textlink="">
      <xdr:nvSpPr>
        <xdr:cNvPr id="4" name="TextBox 3">
          <a:extLst>
            <a:ext uri="{FF2B5EF4-FFF2-40B4-BE49-F238E27FC236}">
              <a16:creationId xmlns:a16="http://schemas.microsoft.com/office/drawing/2014/main" id="{1CB4BF22-B3D8-40BA-827D-67E87FB88938}"/>
            </a:ext>
          </a:extLst>
        </xdr:cNvPr>
        <xdr:cNvSpPr txBox="1"/>
      </xdr:nvSpPr>
      <xdr:spPr>
        <a:xfrm>
          <a:off x="9791700" y="676275"/>
          <a:ext cx="2714625" cy="3943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 can see from the Scatter plot that there is a positive relationship between the two variables Attendance and Exam results, which means </a:t>
          </a:r>
          <a:r>
            <a:rPr lang="en-GB"/>
            <a:t>Increases in attendance tend to be associated with increases in exam results and vice versa,</a:t>
          </a:r>
          <a:r>
            <a:rPr lang="en-GB" baseline="0"/>
            <a:t> also all the other methods tell us that there is a positive relationship between the two variables with a coeficient of correlation equal to </a:t>
          </a:r>
          <a:r>
            <a:rPr lang="en-GB" sz="1100" b="0" i="0" u="none" strike="noStrike">
              <a:solidFill>
                <a:schemeClr val="dk1"/>
              </a:solidFill>
              <a:effectLst/>
              <a:latin typeface="+mn-lt"/>
              <a:ea typeface="+mn-ea"/>
              <a:cs typeface="+mn-cs"/>
            </a:rPr>
            <a:t>0.960791</a:t>
          </a:r>
          <a:r>
            <a:rPr lang="en-GB"/>
            <a:t> (and coefficient</a:t>
          </a:r>
          <a:r>
            <a:rPr lang="en-GB" baseline="0"/>
            <a:t> of determination of .9231, both numbers are high because the points are very close to the trend line), we can see that this figure is statistically significant as t value is high, 0 does not lie between upper and lower bounds of confidence interval and the P-value is less than .05, </a:t>
          </a:r>
          <a:r>
            <a:rPr lang="en-GB"/>
            <a:t>In other words, we are more than 95% confident that the correlation coefficient is not zero,</a:t>
          </a:r>
          <a:r>
            <a:rPr lang="en-GB" baseline="0"/>
            <a:t> so we can reject the null hypothesis that the correlation coefficient is zero (there is no linear relationship).</a:t>
          </a:r>
          <a:endParaRPr lang="en-GB"/>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9525</xdr:colOff>
      <xdr:row>20</xdr:row>
      <xdr:rowOff>28575</xdr:rowOff>
    </xdr:from>
    <xdr:to>
      <xdr:col>11</xdr:col>
      <xdr:colOff>314325</xdr:colOff>
      <xdr:row>34</xdr:row>
      <xdr:rowOff>104775</xdr:rowOff>
    </xdr:to>
    <xdr:graphicFrame macro="">
      <xdr:nvGraphicFramePr>
        <xdr:cNvPr id="3" name="Chart 2">
          <a:extLst>
            <a:ext uri="{FF2B5EF4-FFF2-40B4-BE49-F238E27FC236}">
              <a16:creationId xmlns:a16="http://schemas.microsoft.com/office/drawing/2014/main" id="{5AEFBAB1-F52B-A07C-AC76-259FA48C2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xdr:colOff>
      <xdr:row>36</xdr:row>
      <xdr:rowOff>9525</xdr:rowOff>
    </xdr:from>
    <xdr:to>
      <xdr:col>11</xdr:col>
      <xdr:colOff>314325</xdr:colOff>
      <xdr:row>50</xdr:row>
      <xdr:rowOff>85725</xdr:rowOff>
    </xdr:to>
    <xdr:graphicFrame macro="">
      <xdr:nvGraphicFramePr>
        <xdr:cNvPr id="5" name="Chart 4">
          <a:extLst>
            <a:ext uri="{FF2B5EF4-FFF2-40B4-BE49-F238E27FC236}">
              <a16:creationId xmlns:a16="http://schemas.microsoft.com/office/drawing/2014/main" id="{5D6FD5B6-55E4-4926-931D-419B081BB0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32</xdr:col>
      <xdr:colOff>156144</xdr:colOff>
      <xdr:row>3</xdr:row>
      <xdr:rowOff>9522</xdr:rowOff>
    </xdr:from>
    <xdr:ext cx="4615869" cy="5948039"/>
    <xdr:sp macro="" textlink="">
      <xdr:nvSpPr>
        <xdr:cNvPr id="6" name="TextBox 5">
          <a:extLst>
            <a:ext uri="{FF2B5EF4-FFF2-40B4-BE49-F238E27FC236}">
              <a16:creationId xmlns:a16="http://schemas.microsoft.com/office/drawing/2014/main" id="{70D83239-1EF4-A6E6-07E7-40C622BB62DC}"/>
            </a:ext>
          </a:extLst>
        </xdr:cNvPr>
        <xdr:cNvSpPr txBox="1"/>
      </xdr:nvSpPr>
      <xdr:spPr>
        <a:xfrm flipH="1">
          <a:off x="22073169" y="590547"/>
          <a:ext cx="4615869" cy="59480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First thing to look at here is the fit of the model,</a:t>
          </a:r>
          <a:r>
            <a:rPr lang="en-GB" sz="1100" baseline="0"/>
            <a:t> and to evaluate that it is better to use the adjusted r square which is equal to </a:t>
          </a:r>
          <a:r>
            <a:rPr lang="en-GB" sz="1100" b="0" i="0" u="none" strike="noStrike">
              <a:solidFill>
                <a:schemeClr val="tx1"/>
              </a:solidFill>
              <a:effectLst/>
              <a:latin typeface="+mn-lt"/>
              <a:ea typeface="+mn-ea"/>
              <a:cs typeface="+mn-cs"/>
            </a:rPr>
            <a:t>0.921519</a:t>
          </a:r>
          <a:r>
            <a:rPr lang="en-GB"/>
            <a:t> and it is very high which suggests an excellent fit (as we can see from the scater plot as well).</a:t>
          </a:r>
        </a:p>
        <a:p>
          <a:r>
            <a:rPr lang="en-GB"/>
            <a:t>for the hypothsesis test of r square, we can see that F is so high and the P-value is below .05 and close to zero which means that the r square of </a:t>
          </a:r>
          <a:r>
            <a:rPr lang="en-GB" sz="1100" b="0" i="0" u="none" strike="noStrike">
              <a:solidFill>
                <a:schemeClr val="tx1"/>
              </a:solidFill>
              <a:effectLst/>
              <a:latin typeface="+mn-lt"/>
              <a:ea typeface="+mn-ea"/>
              <a:cs typeface="+mn-cs"/>
            </a:rPr>
            <a:t>0.92312</a:t>
          </a:r>
          <a:r>
            <a:rPr lang="en-GB"/>
            <a:t> is statistically significant, also P-value</a:t>
          </a:r>
          <a:r>
            <a:rPr lang="en-GB" baseline="0"/>
            <a:t> for both intercept and the independent variable are below .05, and the t statistic is very high, furthermore, for the slope coefficient attendance zero does not lie between lower and upper bounds of confidence intervals, all that suggest we can reject the null hypothesis that the slope coefficient is equal to zero, and we can conclude that the correlation between he model and the dependant variable (exam results) is statistically significant.</a:t>
          </a:r>
        </a:p>
        <a:p>
          <a:r>
            <a:rPr lang="en-GB" baseline="0"/>
            <a:t>the intercept coefficient (where the line cross the Y axis) tells us if a student has 0 attendance we would expect that his exam result would be equal to </a:t>
          </a:r>
          <a:r>
            <a:rPr lang="en-GB" sz="1100" b="0" i="0" u="none" strike="noStrike">
              <a:solidFill>
                <a:schemeClr val="tx1"/>
              </a:solidFill>
              <a:effectLst/>
              <a:latin typeface="+mn-lt"/>
              <a:ea typeface="+mn-ea"/>
              <a:cs typeface="+mn-cs"/>
            </a:rPr>
            <a:t>-7.98279,</a:t>
          </a:r>
          <a:r>
            <a:rPr lang="en-GB" sz="1100" b="0" i="0" u="none" strike="noStrike" baseline="0">
              <a:solidFill>
                <a:schemeClr val="tx1"/>
              </a:solidFill>
              <a:effectLst/>
              <a:latin typeface="+mn-lt"/>
              <a:ea typeface="+mn-ea"/>
              <a:cs typeface="+mn-cs"/>
            </a:rPr>
            <a:t> which is not possible score as we have a range for the possible results (0-100), on the other hand the slope coefficient (the slope of the line) tells us that on average every 1% increase in the attendance the exam result increse by average of </a:t>
          </a:r>
          <a:r>
            <a:rPr lang="en-GB" sz="1100" b="0" i="0" u="none" strike="noStrike">
              <a:solidFill>
                <a:schemeClr val="tx1"/>
              </a:solidFill>
              <a:effectLst/>
              <a:latin typeface="+mn-lt"/>
              <a:ea typeface="+mn-ea"/>
              <a:cs typeface="+mn-cs"/>
            </a:rPr>
            <a:t>1.146257%.</a:t>
          </a:r>
        </a:p>
        <a:p>
          <a:r>
            <a:rPr lang="en-GB"/>
            <a:t>The residual analysis shows the vertical gaps from the 50 points to the sample regression line, and </a:t>
          </a:r>
          <a:r>
            <a:rPr lang="en-GB" sz="1100" b="0" i="0" u="none" strike="noStrike">
              <a:solidFill>
                <a:schemeClr val="tx1"/>
              </a:solidFill>
              <a:effectLst/>
              <a:latin typeface="+mn-lt"/>
              <a:ea typeface="+mn-ea"/>
              <a:cs typeface="+mn-cs"/>
            </a:rPr>
            <a:t>when we look at the studentized</a:t>
          </a:r>
          <a:r>
            <a:rPr lang="en-GB" sz="1100" b="0" i="0" u="none" strike="noStrike" baseline="0">
              <a:solidFill>
                <a:schemeClr val="tx1"/>
              </a:solidFill>
              <a:effectLst/>
              <a:latin typeface="+mn-lt"/>
              <a:ea typeface="+mn-ea"/>
              <a:cs typeface="+mn-cs"/>
            </a:rPr>
            <a:t> </a:t>
          </a:r>
          <a:r>
            <a:rPr lang="en-GB" sz="1100" b="0" i="0" u="none" strike="noStrike">
              <a:solidFill>
                <a:schemeClr val="tx1"/>
              </a:solidFill>
              <a:effectLst/>
              <a:latin typeface="+mn-lt"/>
              <a:ea typeface="+mn-ea"/>
              <a:cs typeface="+mn-cs"/>
            </a:rPr>
            <a:t>residuals plot, we can see that there are no </a:t>
          </a:r>
          <a:r>
            <a:rPr lang="en-GB" sz="1100" b="0" i="0">
              <a:solidFill>
                <a:schemeClr val="tx1"/>
              </a:solidFill>
              <a:effectLst/>
              <a:latin typeface="+mn-lt"/>
              <a:ea typeface="+mn-ea"/>
              <a:cs typeface="+mn-cs"/>
            </a:rPr>
            <a:t>point </a:t>
          </a:r>
          <a:r>
            <a:rPr lang="en-GB" sz="1100" b="0" i="0" u="none" strike="noStrike">
              <a:solidFill>
                <a:schemeClr val="tx1"/>
              </a:solidFill>
              <a:effectLst/>
              <a:latin typeface="+mn-lt"/>
              <a:ea typeface="+mn-ea"/>
              <a:cs typeface="+mn-cs"/>
            </a:rPr>
            <a:t>above 2.5 in absolute term, anyway we can see that we have two points close</a:t>
          </a:r>
          <a:r>
            <a:rPr lang="en-GB" sz="1100" b="0" i="0" u="none" strike="noStrike" baseline="0">
              <a:solidFill>
                <a:schemeClr val="tx1"/>
              </a:solidFill>
              <a:effectLst/>
              <a:latin typeface="+mn-lt"/>
              <a:ea typeface="+mn-ea"/>
              <a:cs typeface="+mn-cs"/>
            </a:rPr>
            <a:t> to it and we will use cook's D to do a hypothesis test on them.</a:t>
          </a:r>
        </a:p>
        <a:p>
          <a:r>
            <a:rPr lang="en-GB" sz="1100" b="0" i="0" u="none" strike="noStrike" baseline="0">
              <a:solidFill>
                <a:schemeClr val="tx1"/>
              </a:solidFill>
              <a:effectLst/>
              <a:latin typeface="+mn-lt"/>
              <a:ea typeface="+mn-ea"/>
              <a:cs typeface="+mn-cs"/>
            </a:rPr>
            <a:t>as we can see, we have two observations marked with an </a:t>
          </a:r>
          <a:r>
            <a:rPr lang="en-GB"/>
            <a:t>asterisks, observations number 9 and 29 have a high negative studentized residual, and they are the same points that close to 2.5 on</a:t>
          </a:r>
          <a:r>
            <a:rPr lang="en-GB" baseline="0"/>
            <a:t> the </a:t>
          </a:r>
          <a:r>
            <a:rPr lang="en-GB" sz="1100" b="0" i="0">
              <a:solidFill>
                <a:schemeClr val="tx1"/>
              </a:solidFill>
              <a:effectLst/>
              <a:latin typeface="+mn-lt"/>
              <a:ea typeface="+mn-ea"/>
              <a:cs typeface="+mn-cs"/>
            </a:rPr>
            <a:t>studentized residuals plot, both of them are potential outliers that can distort the fitted regression line, it is true that none of their studentized residual above 2.5 in absolute term, but their P-values as we can see are both below .05 </a:t>
          </a:r>
          <a:r>
            <a:rPr lang="en-GB"/>
            <a:t>and they are large enough to affect the regression line as they are an</a:t>
          </a:r>
          <a:r>
            <a:rPr lang="en-GB" baseline="0"/>
            <a:t> influential outliers (decrease the slope of the line)</a:t>
          </a:r>
          <a:r>
            <a:rPr lang="en-GB"/>
            <a:t>. anyway it is not advised to remove them asthey are not a mistake and the data set is big enough that the effect of them would not be too</a:t>
          </a:r>
          <a:r>
            <a:rPr lang="en-GB" baseline="0"/>
            <a:t> dramatic.</a:t>
          </a:r>
          <a:endParaRPr lang="en-GB" sz="1100"/>
        </a:p>
      </xdr:txBody>
    </xdr:sp>
    <xdr:clientData/>
  </xdr:oneCellAnchor>
  <xdr:twoCellAnchor>
    <xdr:from>
      <xdr:col>4</xdr:col>
      <xdr:colOff>0</xdr:colOff>
      <xdr:row>53</xdr:row>
      <xdr:rowOff>0</xdr:rowOff>
    </xdr:from>
    <xdr:to>
      <xdr:col>11</xdr:col>
      <xdr:colOff>561975</xdr:colOff>
      <xdr:row>67</xdr:row>
      <xdr:rowOff>76200</xdr:rowOff>
    </xdr:to>
    <xdr:graphicFrame macro="">
      <xdr:nvGraphicFramePr>
        <xdr:cNvPr id="8" name="Chart 7">
          <a:extLst>
            <a:ext uri="{FF2B5EF4-FFF2-40B4-BE49-F238E27FC236}">
              <a16:creationId xmlns:a16="http://schemas.microsoft.com/office/drawing/2014/main" id="{DBEB440C-A2CB-497C-8D41-DAE4BCDD53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1009650</xdr:colOff>
      <xdr:row>7</xdr:row>
      <xdr:rowOff>171450</xdr:rowOff>
    </xdr:from>
    <xdr:to>
      <xdr:col>11</xdr:col>
      <xdr:colOff>161925</xdr:colOff>
      <xdr:row>22</xdr:row>
      <xdr:rowOff>57150</xdr:rowOff>
    </xdr:to>
    <xdr:graphicFrame macro="">
      <xdr:nvGraphicFramePr>
        <xdr:cNvPr id="4" name="Chart 3">
          <a:extLst>
            <a:ext uri="{FF2B5EF4-FFF2-40B4-BE49-F238E27FC236}">
              <a16:creationId xmlns:a16="http://schemas.microsoft.com/office/drawing/2014/main" id="{3D5483B2-C3C9-44D7-A34A-686895940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19050</xdr:colOff>
      <xdr:row>1</xdr:row>
      <xdr:rowOff>171449</xdr:rowOff>
    </xdr:from>
    <xdr:to>
      <xdr:col>17</xdr:col>
      <xdr:colOff>190500</xdr:colOff>
      <xdr:row>26</xdr:row>
      <xdr:rowOff>180974</xdr:rowOff>
    </xdr:to>
    <xdr:sp macro="" textlink="">
      <xdr:nvSpPr>
        <xdr:cNvPr id="5" name="TextBox 4">
          <a:extLst>
            <a:ext uri="{FF2B5EF4-FFF2-40B4-BE49-F238E27FC236}">
              <a16:creationId xmlns:a16="http://schemas.microsoft.com/office/drawing/2014/main" id="{A42EA482-407A-F133-5EF0-316C72309D92}"/>
            </a:ext>
          </a:extLst>
        </xdr:cNvPr>
        <xdr:cNvSpPr txBox="1"/>
      </xdr:nvSpPr>
      <xdr:spPr>
        <a:xfrm>
          <a:off x="8724900" y="361949"/>
          <a:ext cx="3219450" cy="477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a:t>
          </a:r>
          <a:r>
            <a:rPr lang="en-GB" sz="1100" baseline="0"/>
            <a:t> can see that student B attendance percentage is within the data points and that is called interpolation, however for the other two students (A &amp; C) the attendance percentages are outside the data points and it is called extrapolation.</a:t>
          </a:r>
        </a:p>
        <a:p>
          <a:r>
            <a:rPr lang="en-GB" sz="1100" baseline="0"/>
            <a:t>as we can see according to this model, student A's exam results is </a:t>
          </a:r>
          <a:r>
            <a:rPr lang="en-GB" sz="1100" b="0" i="0" u="none" strike="noStrike">
              <a:solidFill>
                <a:schemeClr val="dk1"/>
              </a:solidFill>
              <a:effectLst/>
              <a:latin typeface="+mn-lt"/>
              <a:ea typeface="+mn-ea"/>
              <a:cs typeface="+mn-cs"/>
            </a:rPr>
            <a:t>-2.2515,</a:t>
          </a:r>
          <a:r>
            <a:rPr lang="en-GB" sz="1100" b="0" i="0" u="none" strike="noStrike" baseline="0">
              <a:solidFill>
                <a:schemeClr val="dk1"/>
              </a:solidFill>
              <a:effectLst/>
              <a:latin typeface="+mn-lt"/>
              <a:ea typeface="+mn-ea"/>
              <a:cs typeface="+mn-cs"/>
            </a:rPr>
            <a:t> it is a minus result which is not a possible thing in the real world and this one of the problems with extrapolation, for student C the exam resule is </a:t>
          </a:r>
          <a:r>
            <a:rPr lang="en-GB" sz="1100" b="0" i="0" u="none" strike="noStrike">
              <a:solidFill>
                <a:schemeClr val="dk1"/>
              </a:solidFill>
              <a:effectLst/>
              <a:latin typeface="+mn-lt"/>
              <a:ea typeface="+mn-ea"/>
              <a:cs typeface="+mn-cs"/>
            </a:rPr>
            <a:t>100.9117</a:t>
          </a:r>
          <a:r>
            <a:rPr lang="en-GB"/>
            <a:t> which is impossible as well,</a:t>
          </a:r>
          <a:r>
            <a:rPr lang="en-GB" baseline="0"/>
            <a:t> as the trend line is continue by the slope (</a:t>
          </a:r>
          <a:r>
            <a:rPr lang="en-GB" sz="1100" b="0" i="0" u="none" strike="noStrike">
              <a:solidFill>
                <a:schemeClr val="dk1"/>
              </a:solidFill>
              <a:effectLst/>
              <a:latin typeface="+mn-lt"/>
              <a:ea typeface="+mn-ea"/>
              <a:cs typeface="+mn-cs"/>
            </a:rPr>
            <a:t>1.146257)</a:t>
          </a:r>
          <a:r>
            <a:rPr lang="en-GB" sz="1100" b="0" i="0" u="none" strike="noStrike" baseline="0">
              <a:solidFill>
                <a:schemeClr val="dk1"/>
              </a:solidFill>
              <a:effectLst/>
              <a:latin typeface="+mn-lt"/>
              <a:ea typeface="+mn-ea"/>
              <a:cs typeface="+mn-cs"/>
            </a:rPr>
            <a:t> every time the independent variable (attendance) increase by 1, and this makes no sense here as we have a range of 0-100 for the results that we could expected.</a:t>
          </a:r>
        </a:p>
        <a:p>
          <a:r>
            <a:rPr lang="en-GB" sz="1100" b="0" i="0" u="none" strike="noStrike" baseline="0">
              <a:solidFill>
                <a:schemeClr val="dk1"/>
              </a:solidFill>
              <a:effectLst/>
              <a:latin typeface="+mn-lt"/>
              <a:ea typeface="+mn-ea"/>
              <a:cs typeface="+mn-cs"/>
            </a:rPr>
            <a:t>this model works very well for student B forecasted exam result because as I mentioned it is an interpolation and the fit of the model is very high.</a:t>
          </a:r>
        </a:p>
        <a:p>
          <a:r>
            <a:rPr lang="en-GB" sz="1100"/>
            <a:t>we can also notice that the trend line is steep and it cuts</a:t>
          </a:r>
          <a:r>
            <a:rPr lang="en-GB" sz="1100" baseline="0"/>
            <a:t> the Y axis at minus 7.9828 which makes the intercept meaningless in this case of exam results projections as we have 0 as the minimum possible result.</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28574</xdr:colOff>
      <xdr:row>2</xdr:row>
      <xdr:rowOff>104775</xdr:rowOff>
    </xdr:from>
    <xdr:to>
      <xdr:col>24</xdr:col>
      <xdr:colOff>0</xdr:colOff>
      <xdr:row>15</xdr:row>
      <xdr:rowOff>171450</xdr:rowOff>
    </xdr:to>
    <xdr:sp macro="" textlink="">
      <xdr:nvSpPr>
        <xdr:cNvPr id="2" name="TextBox 1">
          <a:extLst>
            <a:ext uri="{FF2B5EF4-FFF2-40B4-BE49-F238E27FC236}">
              <a16:creationId xmlns:a16="http://schemas.microsoft.com/office/drawing/2014/main" id="{33051EBE-4E16-DC1F-0105-C82A6870F00F}"/>
            </a:ext>
          </a:extLst>
        </xdr:cNvPr>
        <xdr:cNvSpPr txBox="1"/>
      </xdr:nvSpPr>
      <xdr:spPr>
        <a:xfrm>
          <a:off x="8410574" y="485775"/>
          <a:ext cx="9115426"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Here we have two categorical variables, vaccine</a:t>
          </a:r>
          <a:r>
            <a:rPr lang="en-GB" sz="1100" baseline="0"/>
            <a:t> uptake</a:t>
          </a:r>
          <a:r>
            <a:rPr lang="en-GB" sz="1100"/>
            <a:t> and wether the virus has been contracted or not, in this case we will run CHI-SQUARE test for independence to assess wether there is a correlation between the two variables, in other ords, is various contraction</a:t>
          </a:r>
          <a:r>
            <a:rPr lang="en-GB" sz="1100" baseline="0"/>
            <a:t> independent of vaccine uptake or there is a connection between the two variables.</a:t>
          </a:r>
        </a:p>
        <a:p>
          <a:r>
            <a:rPr lang="en-GB" sz="1100"/>
            <a:t> the null hypothesis is the two categorical variables are not correlated and the alternative hypothesis is there</a:t>
          </a:r>
          <a:r>
            <a:rPr lang="en-GB" sz="1100" baseline="0"/>
            <a:t> is a correlation between them.</a:t>
          </a:r>
        </a:p>
        <a:p>
          <a:r>
            <a:rPr lang="en-GB"/>
            <a:t>Chi-square computed value (pearson's) is </a:t>
          </a:r>
          <a:r>
            <a:rPr lang="en-GB" sz="1100" b="0" i="0" u="none" strike="noStrike">
              <a:solidFill>
                <a:schemeClr val="dk1"/>
              </a:solidFill>
              <a:effectLst/>
              <a:latin typeface="+mn-lt"/>
              <a:ea typeface="+mn-ea"/>
              <a:cs typeface="+mn-cs"/>
            </a:rPr>
            <a:t>10.75269</a:t>
          </a:r>
          <a:r>
            <a:rPr lang="en-GB"/>
            <a:t> and as this is higher than the critical value (and the p-value is therefore lower than 0.05), we can reject the null hypothesis that the two categorical variables are not correlated. In other words, we can be 95% confidence that vaccine uptake affect  virus contraction (contract virus is strongly dependent on vaccine uptake), for the effect size we can take a look at both Cramer's V and the odds ratio, here Cramer’s V is higher</a:t>
          </a:r>
          <a:r>
            <a:rPr lang="en-GB" baseline="0"/>
            <a:t> than</a:t>
          </a:r>
          <a:r>
            <a:rPr lang="en-GB"/>
            <a:t> 0.5, which suggests that the effect is large. and the odds ratio</a:t>
          </a:r>
          <a:r>
            <a:rPr lang="en-GB" baseline="0"/>
            <a:t> is 13.5, which</a:t>
          </a:r>
          <a:r>
            <a:rPr lang="en-GB"/>
            <a:t> tells us that people</a:t>
          </a:r>
          <a:r>
            <a:rPr lang="en-GB" baseline="0"/>
            <a:t> who are not vaccinated</a:t>
          </a:r>
          <a:r>
            <a:rPr lang="en-GB"/>
            <a:t> are approximately 13.5 times more likely to cntract</a:t>
          </a:r>
          <a:r>
            <a:rPr lang="en-GB" baseline="0"/>
            <a:t> virus compared to vaccinated people and</a:t>
          </a:r>
          <a:r>
            <a:rPr lang="en-GB"/>
            <a:t> This equates to a large effect size and we reject the null hypothesis here which suggests that the effect is equal to one</a:t>
          </a:r>
          <a:r>
            <a:rPr lang="en-GB" baseline="0"/>
            <a:t> </a:t>
          </a:r>
          <a:r>
            <a:rPr lang="en-GB"/>
            <a:t>, so</a:t>
          </a:r>
          <a:r>
            <a:rPr lang="en-GB" baseline="0"/>
            <a:t> </a:t>
          </a:r>
          <a:r>
            <a:rPr lang="en-GB"/>
            <a:t>now</a:t>
          </a:r>
          <a:r>
            <a:rPr lang="en-GB" baseline="0"/>
            <a:t> we can say that the test has both statistical and practical significance.</a:t>
          </a:r>
        </a:p>
        <a:p>
          <a:r>
            <a:rPr lang="en-GB" sz="1100"/>
            <a:t>we should also pay an extra attention here to </a:t>
          </a:r>
          <a:r>
            <a:rPr lang="en-GB" sz="1100" b="0" i="0" u="none" strike="noStrike">
              <a:solidFill>
                <a:schemeClr val="dk1"/>
              </a:solidFill>
              <a:effectLst/>
              <a:latin typeface="+mn-lt"/>
              <a:ea typeface="+mn-ea"/>
              <a:cs typeface="+mn-cs"/>
            </a:rPr>
            <a:t>Fisher Exact Test</a:t>
          </a:r>
          <a:r>
            <a:rPr lang="en-GB"/>
            <a:t> as we have a small sample and we</a:t>
          </a:r>
          <a:r>
            <a:rPr lang="en-GB" baseline="0"/>
            <a:t> also have an expected value less than 5, and as we can see</a:t>
          </a:r>
          <a:r>
            <a:rPr lang="en-GB" sz="1100" baseline="0">
              <a:solidFill>
                <a:schemeClr val="dk1"/>
              </a:solidFill>
              <a:effectLst/>
              <a:latin typeface="+mn-lt"/>
              <a:ea typeface="+mn-ea"/>
              <a:cs typeface="+mn-cs"/>
            </a:rPr>
            <a:t>the result of</a:t>
          </a:r>
          <a:r>
            <a:rPr lang="en-GB" sz="1100">
              <a:solidFill>
                <a:schemeClr val="dk1"/>
              </a:solidFill>
              <a:effectLst/>
              <a:latin typeface="+mn-lt"/>
              <a:ea typeface="+mn-ea"/>
              <a:cs typeface="+mn-cs"/>
            </a:rPr>
            <a:t> </a:t>
          </a:r>
          <a:r>
            <a:rPr lang="en-GB" sz="1100" b="0" i="0">
              <a:solidFill>
                <a:schemeClr val="dk1"/>
              </a:solidFill>
              <a:effectLst/>
              <a:latin typeface="+mn-lt"/>
              <a:ea typeface="+mn-ea"/>
              <a:cs typeface="+mn-cs"/>
            </a:rPr>
            <a:t>Fisher Exact Test</a:t>
          </a:r>
          <a:r>
            <a:rPr lang="en-GB" sz="1100">
              <a:solidFill>
                <a:schemeClr val="dk1"/>
              </a:solidFill>
              <a:effectLst/>
              <a:latin typeface="+mn-lt"/>
              <a:ea typeface="+mn-ea"/>
              <a:cs typeface="+mn-cs"/>
            </a:rPr>
            <a:t> </a:t>
          </a:r>
          <a:r>
            <a:rPr lang="en-GB" sz="1100" baseline="0">
              <a:solidFill>
                <a:schemeClr val="dk1"/>
              </a:solidFill>
              <a:effectLst/>
              <a:latin typeface="+mn-lt"/>
              <a:ea typeface="+mn-ea"/>
              <a:cs typeface="+mn-cs"/>
            </a:rPr>
            <a:t>is same as that of </a:t>
          </a:r>
          <a:r>
            <a:rPr lang="en-GB" sz="1100" b="0" i="0" u="none" strike="noStrike">
              <a:solidFill>
                <a:schemeClr val="dk1"/>
              </a:solidFill>
              <a:effectLst/>
              <a:latin typeface="+mn-lt"/>
              <a:ea typeface="+mn-ea"/>
              <a:cs typeface="+mn-cs"/>
            </a:rPr>
            <a:t>Chi-Square Test</a:t>
          </a:r>
          <a:r>
            <a:rPr lang="en-GB" sz="1100" b="0" i="0" u="none" strike="noStrike" baseline="0">
              <a:solidFill>
                <a:schemeClr val="dk1"/>
              </a:solidFill>
              <a:effectLst/>
              <a:latin typeface="+mn-lt"/>
              <a:ea typeface="+mn-ea"/>
              <a:cs typeface="+mn-cs"/>
            </a:rPr>
            <a:t>, as</a:t>
          </a:r>
          <a:r>
            <a:rPr lang="en-GB" baseline="0"/>
            <a:t> the P-value is less than our significance level which is .05 and we can reject the null hypothesis that there is no correlation.</a:t>
          </a:r>
        </a:p>
        <a:p>
          <a:r>
            <a:rPr lang="en-GB" sz="1100" baseline="0"/>
            <a:t>in conclusion we can say that we have a very strong evidence that there is a correlation between the two variables.</a:t>
          </a:r>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ezzel\OneDrive\XRealStats.xlam" TargetMode="External"/><Relationship Id="rId1" Type="http://schemas.openxmlformats.org/officeDocument/2006/relationships/externalLinkPath" Target="file:///C:\Users\ezzel\OneDrive\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Kendall Tc"/>
      <sheetName val="Kendall u"/>
      <sheetName val="Page Table"/>
      <sheetName val="Prime"/>
      <sheetName val="MSSD"/>
      <sheetName val="Dict"/>
      <sheetName val="ADict"/>
      <sheetName val="L4 2"/>
      <sheetName val="L8 2"/>
      <sheetName val="L8 42"/>
      <sheetName val="L9 3"/>
      <sheetName val="L12 2"/>
      <sheetName val="L16 2"/>
      <sheetName val="L16 4"/>
      <sheetName val="L16 42a"/>
      <sheetName val="L18 23"/>
      <sheetName val="L18 63"/>
      <sheetName val="L25 5"/>
      <sheetName val="L27 3"/>
      <sheetName val="L32 2"/>
      <sheetName val="L32 24"/>
      <sheetName val="L36 23a"/>
      <sheetName val="L36 23b"/>
      <sheetName val="L50 25"/>
      <sheetName val="L54 23"/>
      <sheetName val="L64 4"/>
      <sheetName val="T2"/>
      <sheetName val="T3"/>
      <sheetName val="T4"/>
    </sheetNames>
    <definedNames>
      <definedName name="CHI_MAX2"/>
      <definedName name="CHI_STAT2"/>
      <definedName name="CHISQ_INV_RT"/>
      <definedName name="CorrelTest"/>
      <definedName name="CorrelTTest"/>
      <definedName name="CountPairs"/>
      <definedName name="DAGOSTINO"/>
      <definedName name="DEsign"/>
      <definedName name="DPTEST"/>
      <definedName name="DURBIN"/>
      <definedName name="FISHERTEST"/>
      <definedName name="KCORREL"/>
      <definedName name="LEVERAGE"/>
      <definedName name="RegCoeff"/>
      <definedName name="SCORREL"/>
      <definedName name="SHAPIRO"/>
      <definedName name="SWTES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Ezz eldeen" refreshedDate="45591.604945601852" createdVersion="8" refreshedVersion="8" minRefreshableVersion="3" recordCount="40" xr:uid="{A08ECB69-6C06-4E4D-BA9B-E7066069C010}">
  <cacheSource type="worksheet">
    <worksheetSource ref="A1:B41" sheet="D"/>
  </cacheSource>
  <cacheFields count="2">
    <cacheField name="Vaccinated" numFmtId="0">
      <sharedItems count="2">
        <s v="Yes"/>
        <s v="No"/>
      </sharedItems>
    </cacheField>
    <cacheField name="Contracted Virus"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r>
  <r>
    <x v="1"/>
    <x v="1"/>
  </r>
  <r>
    <x v="1"/>
    <x v="1"/>
  </r>
  <r>
    <x v="0"/>
    <x v="0"/>
  </r>
  <r>
    <x v="0"/>
    <x v="0"/>
  </r>
  <r>
    <x v="0"/>
    <x v="0"/>
  </r>
  <r>
    <x v="0"/>
    <x v="0"/>
  </r>
  <r>
    <x v="1"/>
    <x v="1"/>
  </r>
  <r>
    <x v="0"/>
    <x v="0"/>
  </r>
  <r>
    <x v="0"/>
    <x v="0"/>
  </r>
  <r>
    <x v="0"/>
    <x v="0"/>
  </r>
  <r>
    <x v="1"/>
    <x v="1"/>
  </r>
  <r>
    <x v="0"/>
    <x v="1"/>
  </r>
  <r>
    <x v="0"/>
    <x v="0"/>
  </r>
  <r>
    <x v="0"/>
    <x v="0"/>
  </r>
  <r>
    <x v="0"/>
    <x v="0"/>
  </r>
  <r>
    <x v="0"/>
    <x v="0"/>
  </r>
  <r>
    <x v="0"/>
    <x v="0"/>
  </r>
  <r>
    <x v="1"/>
    <x v="0"/>
  </r>
  <r>
    <x v="0"/>
    <x v="0"/>
  </r>
  <r>
    <x v="1"/>
    <x v="0"/>
  </r>
  <r>
    <x v="0"/>
    <x v="0"/>
  </r>
  <r>
    <x v="0"/>
    <x v="0"/>
  </r>
  <r>
    <x v="0"/>
    <x v="0"/>
  </r>
  <r>
    <x v="1"/>
    <x v="1"/>
  </r>
  <r>
    <x v="0"/>
    <x v="0"/>
  </r>
  <r>
    <x v="0"/>
    <x v="0"/>
  </r>
  <r>
    <x v="0"/>
    <x v="0"/>
  </r>
  <r>
    <x v="0"/>
    <x v="1"/>
  </r>
  <r>
    <x v="1"/>
    <x v="1"/>
  </r>
  <r>
    <x v="0"/>
    <x v="0"/>
  </r>
  <r>
    <x v="0"/>
    <x v="0"/>
  </r>
  <r>
    <x v="0"/>
    <x v="0"/>
  </r>
  <r>
    <x v="1"/>
    <x v="0"/>
  </r>
  <r>
    <x v="1"/>
    <x v="0"/>
  </r>
  <r>
    <x v="0"/>
    <x v="0"/>
  </r>
  <r>
    <x v="0"/>
    <x v="1"/>
  </r>
  <r>
    <x v="0"/>
    <x v="0"/>
  </r>
  <r>
    <x v="0"/>
    <x v="0"/>
  </r>
  <r>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4A49AA-C54B-48A6-999F-6067039083B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G14" firstHeaderRow="1" firstDataRow="2" firstDataCol="1"/>
  <pivotFields count="2">
    <pivotField axis="axisRow" showAll="0">
      <items count="3">
        <item x="1"/>
        <item x="0"/>
        <item t="default"/>
      </items>
    </pivotField>
    <pivotField axis="axisCol" dataField="1" showAll="0">
      <items count="3">
        <item x="0"/>
        <item x="1"/>
        <item t="default"/>
      </items>
    </pivotField>
  </pivotFields>
  <rowFields count="1">
    <field x="0"/>
  </rowFields>
  <rowItems count="3">
    <i>
      <x/>
    </i>
    <i>
      <x v="1"/>
    </i>
    <i t="grand">
      <x/>
    </i>
  </rowItems>
  <colFields count="1">
    <field x="1"/>
  </colFields>
  <colItems count="3">
    <i>
      <x/>
    </i>
    <i>
      <x v="1"/>
    </i>
    <i t="grand">
      <x/>
    </i>
  </colItems>
  <dataFields count="1">
    <dataField name="Count of Contracted Viru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C3929-F175-47D3-97EF-D5B0E4B2DC47}">
  <dimension ref="A1:C61"/>
  <sheetViews>
    <sheetView workbookViewId="0">
      <selection activeCell="G15" sqref="G15"/>
    </sheetView>
  </sheetViews>
  <sheetFormatPr defaultRowHeight="15" x14ac:dyDescent="0.25"/>
  <cols>
    <col min="1" max="1" width="11.85546875" bestFit="1" customWidth="1"/>
    <col min="2" max="2" width="15.28515625" bestFit="1" customWidth="1"/>
    <col min="3" max="3" width="14.85546875" style="2" bestFit="1" customWidth="1"/>
  </cols>
  <sheetData>
    <row r="1" spans="1:3" x14ac:dyDescent="0.25">
      <c r="A1" s="1" t="s">
        <v>2</v>
      </c>
      <c r="B1" s="5" t="s">
        <v>1</v>
      </c>
      <c r="C1" s="1" t="s">
        <v>0</v>
      </c>
    </row>
    <row r="2" spans="1:3" x14ac:dyDescent="0.25">
      <c r="A2" s="2">
        <v>1</v>
      </c>
      <c r="B2" s="2">
        <v>10</v>
      </c>
      <c r="C2" s="2">
        <v>7</v>
      </c>
    </row>
    <row r="3" spans="1:3" x14ac:dyDescent="0.25">
      <c r="A3" s="2">
        <v>2</v>
      </c>
      <c r="B3" s="2">
        <v>20</v>
      </c>
      <c r="C3" s="3">
        <v>11</v>
      </c>
    </row>
    <row r="4" spans="1:3" x14ac:dyDescent="0.25">
      <c r="A4" s="2">
        <v>3</v>
      </c>
      <c r="B4" s="2">
        <v>22</v>
      </c>
      <c r="C4" s="2">
        <v>15</v>
      </c>
    </row>
    <row r="5" spans="1:3" x14ac:dyDescent="0.25">
      <c r="A5" s="2">
        <v>4</v>
      </c>
      <c r="B5" s="2">
        <v>27</v>
      </c>
      <c r="C5" s="2">
        <v>29</v>
      </c>
    </row>
    <row r="6" spans="1:3" x14ac:dyDescent="0.25">
      <c r="A6" s="2">
        <v>5</v>
      </c>
      <c r="B6" s="2">
        <v>29</v>
      </c>
      <c r="C6" s="4">
        <v>34</v>
      </c>
    </row>
    <row r="7" spans="1:3" x14ac:dyDescent="0.25">
      <c r="A7" s="2">
        <v>6</v>
      </c>
      <c r="B7" s="2">
        <v>31</v>
      </c>
      <c r="C7" s="2">
        <v>23</v>
      </c>
    </row>
    <row r="8" spans="1:3" x14ac:dyDescent="0.25">
      <c r="A8" s="2">
        <v>7</v>
      </c>
      <c r="B8" s="2">
        <v>33</v>
      </c>
      <c r="C8" s="2">
        <v>39</v>
      </c>
    </row>
    <row r="9" spans="1:3" x14ac:dyDescent="0.25">
      <c r="A9" s="2">
        <v>8</v>
      </c>
      <c r="B9" s="2">
        <v>34</v>
      </c>
      <c r="C9" s="2">
        <v>30</v>
      </c>
    </row>
    <row r="10" spans="1:3" x14ac:dyDescent="0.25">
      <c r="A10" s="2">
        <v>9</v>
      </c>
      <c r="B10" s="2">
        <v>36</v>
      </c>
      <c r="C10" s="4">
        <v>19</v>
      </c>
    </row>
    <row r="11" spans="1:3" x14ac:dyDescent="0.25">
      <c r="A11" s="2">
        <v>10</v>
      </c>
      <c r="B11" s="2">
        <v>39</v>
      </c>
      <c r="C11" s="4">
        <v>36</v>
      </c>
    </row>
    <row r="12" spans="1:3" x14ac:dyDescent="0.25">
      <c r="A12" s="2">
        <v>11</v>
      </c>
      <c r="B12" s="2">
        <v>40</v>
      </c>
      <c r="C12" s="2">
        <v>34</v>
      </c>
    </row>
    <row r="13" spans="1:3" x14ac:dyDescent="0.25">
      <c r="A13" s="2">
        <v>12</v>
      </c>
      <c r="B13" s="2">
        <v>42</v>
      </c>
      <c r="C13" s="2">
        <v>52</v>
      </c>
    </row>
    <row r="14" spans="1:3" x14ac:dyDescent="0.25">
      <c r="A14" s="2">
        <v>13</v>
      </c>
      <c r="B14" s="2">
        <v>45</v>
      </c>
      <c r="C14" s="2">
        <v>53</v>
      </c>
    </row>
    <row r="15" spans="1:3" x14ac:dyDescent="0.25">
      <c r="A15" s="2">
        <v>14</v>
      </c>
      <c r="B15" s="2">
        <v>45</v>
      </c>
      <c r="C15" s="2">
        <v>51</v>
      </c>
    </row>
    <row r="16" spans="1:3" x14ac:dyDescent="0.25">
      <c r="A16" s="2">
        <v>15</v>
      </c>
      <c r="B16" s="2">
        <v>49</v>
      </c>
      <c r="C16" s="4">
        <v>38</v>
      </c>
    </row>
    <row r="17" spans="1:3" x14ac:dyDescent="0.25">
      <c r="A17" s="2">
        <v>16</v>
      </c>
      <c r="B17" s="2">
        <v>50</v>
      </c>
      <c r="C17" s="3">
        <v>41</v>
      </c>
    </row>
    <row r="18" spans="1:3" x14ac:dyDescent="0.25">
      <c r="A18" s="2">
        <v>17</v>
      </c>
      <c r="B18" s="2">
        <v>53</v>
      </c>
      <c r="C18" s="2">
        <v>51</v>
      </c>
    </row>
    <row r="19" spans="1:3" x14ac:dyDescent="0.25">
      <c r="A19" s="2">
        <v>18</v>
      </c>
      <c r="B19" s="2">
        <v>55</v>
      </c>
      <c r="C19" s="2">
        <v>67</v>
      </c>
    </row>
    <row r="20" spans="1:3" x14ac:dyDescent="0.25">
      <c r="A20" s="2">
        <v>19</v>
      </c>
      <c r="B20" s="2">
        <v>56</v>
      </c>
      <c r="C20" s="2">
        <v>59</v>
      </c>
    </row>
    <row r="21" spans="1:3" x14ac:dyDescent="0.25">
      <c r="A21" s="2">
        <v>20</v>
      </c>
      <c r="B21" s="2">
        <v>57</v>
      </c>
      <c r="C21" s="4">
        <v>47</v>
      </c>
    </row>
    <row r="22" spans="1:3" x14ac:dyDescent="0.25">
      <c r="A22" s="2">
        <v>21</v>
      </c>
      <c r="B22" s="2">
        <v>59</v>
      </c>
      <c r="C22" s="2">
        <v>69</v>
      </c>
    </row>
    <row r="23" spans="1:3" x14ac:dyDescent="0.25">
      <c r="A23" s="2">
        <v>22</v>
      </c>
      <c r="B23" s="2">
        <v>60</v>
      </c>
      <c r="C23" s="2">
        <v>58</v>
      </c>
    </row>
    <row r="24" spans="1:3" x14ac:dyDescent="0.25">
      <c r="A24" s="2">
        <v>23</v>
      </c>
      <c r="B24" s="2">
        <v>60</v>
      </c>
      <c r="C24" s="3">
        <v>51</v>
      </c>
    </row>
    <row r="25" spans="1:3" x14ac:dyDescent="0.25">
      <c r="A25" s="2">
        <v>24</v>
      </c>
      <c r="B25" s="2">
        <v>62</v>
      </c>
      <c r="C25" s="2">
        <v>70</v>
      </c>
    </row>
    <row r="26" spans="1:3" x14ac:dyDescent="0.25">
      <c r="A26" s="2">
        <v>25</v>
      </c>
      <c r="B26" s="2">
        <v>63</v>
      </c>
      <c r="C26" s="2">
        <v>63</v>
      </c>
    </row>
    <row r="27" spans="1:3" x14ac:dyDescent="0.25">
      <c r="A27" s="2">
        <v>26</v>
      </c>
      <c r="B27" s="2">
        <v>63</v>
      </c>
      <c r="C27" s="3">
        <v>53</v>
      </c>
    </row>
    <row r="28" spans="1:3" x14ac:dyDescent="0.25">
      <c r="A28" s="2">
        <v>27</v>
      </c>
      <c r="B28" s="2">
        <v>65</v>
      </c>
      <c r="C28" s="2">
        <v>65</v>
      </c>
    </row>
    <row r="29" spans="1:3" x14ac:dyDescent="0.25">
      <c r="A29" s="2">
        <v>28</v>
      </c>
      <c r="B29" s="2">
        <v>65</v>
      </c>
      <c r="C29" s="2">
        <v>67</v>
      </c>
    </row>
    <row r="30" spans="1:3" x14ac:dyDescent="0.25">
      <c r="A30" s="2">
        <v>29</v>
      </c>
      <c r="B30" s="2">
        <v>66</v>
      </c>
      <c r="C30" s="3">
        <v>53</v>
      </c>
    </row>
    <row r="31" spans="1:3" x14ac:dyDescent="0.25">
      <c r="A31" s="2">
        <v>30</v>
      </c>
      <c r="B31" s="2">
        <v>68</v>
      </c>
      <c r="C31" s="4">
        <v>57</v>
      </c>
    </row>
    <row r="32" spans="1:3" x14ac:dyDescent="0.25">
      <c r="A32" s="2">
        <v>31</v>
      </c>
      <c r="B32" s="2">
        <v>69</v>
      </c>
      <c r="C32" s="2">
        <v>77</v>
      </c>
    </row>
    <row r="33" spans="1:3" x14ac:dyDescent="0.25">
      <c r="A33" s="2">
        <v>32</v>
      </c>
      <c r="B33" s="2">
        <v>70</v>
      </c>
      <c r="C33" s="2">
        <v>71</v>
      </c>
    </row>
    <row r="34" spans="1:3" x14ac:dyDescent="0.25">
      <c r="A34" s="2">
        <v>33</v>
      </c>
      <c r="B34" s="2">
        <v>70</v>
      </c>
      <c r="C34" s="2">
        <v>71</v>
      </c>
    </row>
    <row r="35" spans="1:3" x14ac:dyDescent="0.25">
      <c r="A35" s="2">
        <v>34</v>
      </c>
      <c r="B35" s="2">
        <v>72</v>
      </c>
      <c r="C35" s="2">
        <v>73</v>
      </c>
    </row>
    <row r="36" spans="1:3" x14ac:dyDescent="0.25">
      <c r="A36" s="2">
        <v>35</v>
      </c>
      <c r="B36" s="2">
        <v>72</v>
      </c>
      <c r="C36" s="4">
        <v>78</v>
      </c>
    </row>
    <row r="37" spans="1:3" x14ac:dyDescent="0.25">
      <c r="A37" s="2">
        <v>36</v>
      </c>
      <c r="B37" s="2">
        <v>74</v>
      </c>
      <c r="C37" s="4">
        <v>70</v>
      </c>
    </row>
    <row r="38" spans="1:3" x14ac:dyDescent="0.25">
      <c r="A38" s="2">
        <v>37</v>
      </c>
      <c r="B38" s="2">
        <v>75</v>
      </c>
      <c r="C38" s="3">
        <v>76</v>
      </c>
    </row>
    <row r="39" spans="1:3" x14ac:dyDescent="0.25">
      <c r="A39" s="2">
        <v>38</v>
      </c>
      <c r="B39" s="2">
        <v>75</v>
      </c>
      <c r="C39" s="2">
        <v>78</v>
      </c>
    </row>
    <row r="40" spans="1:3" x14ac:dyDescent="0.25">
      <c r="A40" s="2">
        <v>39</v>
      </c>
      <c r="B40" s="2">
        <v>76</v>
      </c>
      <c r="C40" s="2">
        <v>80</v>
      </c>
    </row>
    <row r="41" spans="1:3" x14ac:dyDescent="0.25">
      <c r="A41" s="2">
        <v>40</v>
      </c>
      <c r="B41" s="2">
        <v>78</v>
      </c>
      <c r="C41" s="4">
        <v>90</v>
      </c>
    </row>
    <row r="42" spans="1:3" x14ac:dyDescent="0.25">
      <c r="A42" s="2">
        <v>41</v>
      </c>
      <c r="B42" s="2">
        <v>78</v>
      </c>
      <c r="C42" s="3">
        <v>83</v>
      </c>
    </row>
    <row r="43" spans="1:3" x14ac:dyDescent="0.25">
      <c r="A43" s="2">
        <v>42</v>
      </c>
      <c r="B43" s="2">
        <v>80</v>
      </c>
      <c r="C43" s="2">
        <v>88</v>
      </c>
    </row>
    <row r="44" spans="1:3" x14ac:dyDescent="0.25">
      <c r="A44" s="2">
        <v>43</v>
      </c>
      <c r="B44" s="2">
        <v>82</v>
      </c>
      <c r="C44" s="2">
        <v>88</v>
      </c>
    </row>
    <row r="45" spans="1:3" x14ac:dyDescent="0.25">
      <c r="A45" s="2">
        <v>44</v>
      </c>
      <c r="B45" s="2">
        <v>83</v>
      </c>
      <c r="C45" s="3">
        <v>92</v>
      </c>
    </row>
    <row r="46" spans="1:3" x14ac:dyDescent="0.25">
      <c r="A46" s="2">
        <v>45</v>
      </c>
      <c r="B46" s="2">
        <v>84</v>
      </c>
      <c r="C46" s="3">
        <v>94</v>
      </c>
    </row>
    <row r="47" spans="1:3" x14ac:dyDescent="0.25">
      <c r="A47" s="2">
        <v>46</v>
      </c>
      <c r="B47" s="2">
        <v>84</v>
      </c>
      <c r="C47" s="2">
        <v>93</v>
      </c>
    </row>
    <row r="48" spans="1:3" x14ac:dyDescent="0.25">
      <c r="A48" s="2">
        <v>47</v>
      </c>
      <c r="B48" s="2">
        <v>87</v>
      </c>
      <c r="C48" s="2">
        <v>88</v>
      </c>
    </row>
    <row r="49" spans="1:3" x14ac:dyDescent="0.25">
      <c r="A49" s="2">
        <v>48</v>
      </c>
      <c r="B49" s="2">
        <v>88</v>
      </c>
      <c r="C49" s="4">
        <v>96</v>
      </c>
    </row>
    <row r="50" spans="1:3" x14ac:dyDescent="0.25">
      <c r="A50" s="2">
        <v>49</v>
      </c>
      <c r="B50" s="2">
        <v>90</v>
      </c>
      <c r="C50" s="4">
        <v>93</v>
      </c>
    </row>
    <row r="51" spans="1:3" x14ac:dyDescent="0.25">
      <c r="A51" s="2">
        <v>50</v>
      </c>
      <c r="B51" s="2">
        <v>91</v>
      </c>
      <c r="C51" s="2">
        <v>98</v>
      </c>
    </row>
    <row r="52" spans="1:3" x14ac:dyDescent="0.25">
      <c r="B52" s="2"/>
    </row>
    <row r="53" spans="1:3" x14ac:dyDescent="0.25">
      <c r="B53" s="2"/>
    </row>
    <row r="54" spans="1:3" x14ac:dyDescent="0.25">
      <c r="B54" s="2"/>
    </row>
    <row r="55" spans="1:3" x14ac:dyDescent="0.25">
      <c r="B55" s="2"/>
    </row>
    <row r="56" spans="1:3" x14ac:dyDescent="0.25">
      <c r="B56" s="2"/>
    </row>
    <row r="57" spans="1:3" x14ac:dyDescent="0.25">
      <c r="B57" s="2"/>
    </row>
    <row r="58" spans="1:3" x14ac:dyDescent="0.25">
      <c r="B58" s="2"/>
    </row>
    <row r="59" spans="1:3" x14ac:dyDescent="0.25">
      <c r="B59" s="2"/>
    </row>
    <row r="60" spans="1:3" x14ac:dyDescent="0.25">
      <c r="B60" s="2"/>
    </row>
    <row r="61" spans="1:3" x14ac:dyDescent="0.25">
      <c r="B61" s="2"/>
    </row>
  </sheetData>
  <sortState xmlns:xlrd2="http://schemas.microsoft.com/office/spreadsheetml/2017/richdata2" ref="C2:C61">
    <sortCondition ref="C2:C6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81DF-727B-43A2-B390-807F50EBF432}">
  <dimension ref="A1:J63"/>
  <sheetViews>
    <sheetView topLeftCell="B4" workbookViewId="0">
      <selection activeCell="J55" sqref="J55"/>
    </sheetView>
  </sheetViews>
  <sheetFormatPr defaultRowHeight="15" x14ac:dyDescent="0.25"/>
  <cols>
    <col min="1" max="1" width="11.85546875" bestFit="1" customWidth="1"/>
    <col min="2" max="2" width="14.85546875" bestFit="1" customWidth="1"/>
    <col min="3" max="3" width="15.28515625" bestFit="1" customWidth="1"/>
    <col min="6" max="6" width="22.5703125" bestFit="1" customWidth="1"/>
  </cols>
  <sheetData>
    <row r="1" spans="1:3" x14ac:dyDescent="0.25">
      <c r="A1" s="1" t="s">
        <v>2</v>
      </c>
      <c r="B1" s="5" t="s">
        <v>1</v>
      </c>
      <c r="C1" s="1" t="s">
        <v>0</v>
      </c>
    </row>
    <row r="2" spans="1:3" x14ac:dyDescent="0.25">
      <c r="A2" s="2">
        <v>1</v>
      </c>
      <c r="B2" s="2">
        <v>10</v>
      </c>
      <c r="C2" s="2">
        <v>7</v>
      </c>
    </row>
    <row r="3" spans="1:3" x14ac:dyDescent="0.25">
      <c r="A3" s="2">
        <v>2</v>
      </c>
      <c r="B3" s="2">
        <v>20</v>
      </c>
      <c r="C3" s="3">
        <v>11</v>
      </c>
    </row>
    <row r="4" spans="1:3" x14ac:dyDescent="0.25">
      <c r="A4" s="2">
        <v>3</v>
      </c>
      <c r="B4" s="2">
        <v>22</v>
      </c>
      <c r="C4" s="2">
        <v>15</v>
      </c>
    </row>
    <row r="5" spans="1:3" x14ac:dyDescent="0.25">
      <c r="A5" s="2">
        <v>4</v>
      </c>
      <c r="B5" s="2">
        <v>27</v>
      </c>
      <c r="C5" s="2">
        <v>29</v>
      </c>
    </row>
    <row r="6" spans="1:3" x14ac:dyDescent="0.25">
      <c r="A6" s="2">
        <v>5</v>
      </c>
      <c r="B6" s="2">
        <v>29</v>
      </c>
      <c r="C6" s="4">
        <v>34</v>
      </c>
    </row>
    <row r="7" spans="1:3" x14ac:dyDescent="0.25">
      <c r="A7" s="2">
        <v>6</v>
      </c>
      <c r="B7" s="2">
        <v>31</v>
      </c>
      <c r="C7" s="2">
        <v>23</v>
      </c>
    </row>
    <row r="8" spans="1:3" x14ac:dyDescent="0.25">
      <c r="A8" s="2">
        <v>7</v>
      </c>
      <c r="B8" s="2">
        <v>33</v>
      </c>
      <c r="C8" s="2">
        <v>39</v>
      </c>
    </row>
    <row r="9" spans="1:3" x14ac:dyDescent="0.25">
      <c r="A9" s="2">
        <v>8</v>
      </c>
      <c r="B9" s="2">
        <v>34</v>
      </c>
      <c r="C9" s="2">
        <v>30</v>
      </c>
    </row>
    <row r="10" spans="1:3" x14ac:dyDescent="0.25">
      <c r="A10" s="2">
        <v>9</v>
      </c>
      <c r="B10" s="2">
        <v>36</v>
      </c>
      <c r="C10" s="4">
        <v>19</v>
      </c>
    </row>
    <row r="11" spans="1:3" x14ac:dyDescent="0.25">
      <c r="A11" s="2">
        <v>10</v>
      </c>
      <c r="B11" s="2">
        <v>39</v>
      </c>
      <c r="C11" s="4">
        <v>36</v>
      </c>
    </row>
    <row r="12" spans="1:3" x14ac:dyDescent="0.25">
      <c r="A12" s="2">
        <v>11</v>
      </c>
      <c r="B12" s="2">
        <v>40</v>
      </c>
      <c r="C12" s="2">
        <v>34</v>
      </c>
    </row>
    <row r="13" spans="1:3" x14ac:dyDescent="0.25">
      <c r="A13" s="2">
        <v>12</v>
      </c>
      <c r="B13" s="2">
        <v>42</v>
      </c>
      <c r="C13" s="2">
        <v>52</v>
      </c>
    </row>
    <row r="14" spans="1:3" x14ac:dyDescent="0.25">
      <c r="A14" s="2">
        <v>13</v>
      </c>
      <c r="B14" s="2">
        <v>45</v>
      </c>
      <c r="C14" s="2">
        <v>53</v>
      </c>
    </row>
    <row r="15" spans="1:3" x14ac:dyDescent="0.25">
      <c r="A15" s="2">
        <v>14</v>
      </c>
      <c r="B15" s="2">
        <v>45</v>
      </c>
      <c r="C15" s="2">
        <v>51</v>
      </c>
    </row>
    <row r="16" spans="1:3" x14ac:dyDescent="0.25">
      <c r="A16" s="2">
        <v>15</v>
      </c>
      <c r="B16" s="2">
        <v>49</v>
      </c>
      <c r="C16" s="4">
        <v>38</v>
      </c>
    </row>
    <row r="17" spans="1:9" x14ac:dyDescent="0.25">
      <c r="A17" s="2">
        <v>16</v>
      </c>
      <c r="B17" s="2">
        <v>50</v>
      </c>
      <c r="C17" s="3">
        <v>41</v>
      </c>
    </row>
    <row r="18" spans="1:9" x14ac:dyDescent="0.25">
      <c r="A18" s="2">
        <v>17</v>
      </c>
      <c r="B18" s="2">
        <v>53</v>
      </c>
      <c r="C18" s="2">
        <v>51</v>
      </c>
    </row>
    <row r="19" spans="1:9" ht="15.75" thickBot="1" x14ac:dyDescent="0.3">
      <c r="A19" s="2">
        <v>18</v>
      </c>
      <c r="B19" s="2">
        <v>55</v>
      </c>
      <c r="C19" s="2">
        <v>67</v>
      </c>
    </row>
    <row r="20" spans="1:9" x14ac:dyDescent="0.25">
      <c r="A20" s="2">
        <v>19</v>
      </c>
      <c r="B20" s="2">
        <v>56</v>
      </c>
      <c r="C20" s="2">
        <v>59</v>
      </c>
      <c r="F20" s="16"/>
      <c r="G20" s="16" t="s">
        <v>1</v>
      </c>
      <c r="H20" s="16" t="s">
        <v>0</v>
      </c>
    </row>
    <row r="21" spans="1:9" x14ac:dyDescent="0.25">
      <c r="A21" s="2">
        <v>20</v>
      </c>
      <c r="B21" s="2">
        <v>57</v>
      </c>
      <c r="C21" s="4">
        <v>47</v>
      </c>
      <c r="F21" t="s">
        <v>1</v>
      </c>
      <c r="G21">
        <v>1</v>
      </c>
    </row>
    <row r="22" spans="1:9" ht="15.75" thickBot="1" x14ac:dyDescent="0.3">
      <c r="A22" s="2">
        <v>21</v>
      </c>
      <c r="B22" s="2">
        <v>59</v>
      </c>
      <c r="C22" s="2">
        <v>69</v>
      </c>
      <c r="F22" s="15" t="s">
        <v>0</v>
      </c>
      <c r="G22" s="20">
        <v>0.96079144329579225</v>
      </c>
      <c r="H22" s="15">
        <v>1</v>
      </c>
    </row>
    <row r="23" spans="1:9" x14ac:dyDescent="0.25">
      <c r="A23" s="2">
        <v>22</v>
      </c>
      <c r="B23" s="2">
        <v>60</v>
      </c>
      <c r="C23" s="2">
        <v>58</v>
      </c>
    </row>
    <row r="24" spans="1:9" x14ac:dyDescent="0.25">
      <c r="A24" s="2">
        <v>23</v>
      </c>
      <c r="B24" s="2">
        <v>60</v>
      </c>
      <c r="C24" s="3">
        <v>51</v>
      </c>
    </row>
    <row r="25" spans="1:9" x14ac:dyDescent="0.25">
      <c r="A25" s="2">
        <v>24</v>
      </c>
      <c r="B25" s="2">
        <v>62</v>
      </c>
      <c r="C25" s="2">
        <v>70</v>
      </c>
      <c r="F25" t="s">
        <v>34</v>
      </c>
    </row>
    <row r="26" spans="1:9" x14ac:dyDescent="0.25">
      <c r="A26" s="2">
        <v>25</v>
      </c>
      <c r="B26" s="2">
        <v>63</v>
      </c>
      <c r="C26" s="2">
        <v>63</v>
      </c>
    </row>
    <row r="27" spans="1:9" x14ac:dyDescent="0.25">
      <c r="A27" s="2">
        <v>26</v>
      </c>
      <c r="B27" s="2">
        <v>63</v>
      </c>
      <c r="C27" s="3">
        <v>53</v>
      </c>
      <c r="F27" t="s">
        <v>35</v>
      </c>
      <c r="G27" s="21">
        <f>CORREL(B2:B51,C2:C51)</f>
        <v>0.96079144329579225</v>
      </c>
    </row>
    <row r="28" spans="1:9" x14ac:dyDescent="0.25">
      <c r="A28" s="2">
        <v>27</v>
      </c>
      <c r="B28" s="2">
        <v>65</v>
      </c>
      <c r="C28" s="2">
        <v>65</v>
      </c>
      <c r="F28" t="s">
        <v>36</v>
      </c>
      <c r="G28" s="18">
        <f>[1]!SCORREL(B2:B51,C2:C51)</f>
        <v>0.96216036653295112</v>
      </c>
    </row>
    <row r="29" spans="1:9" x14ac:dyDescent="0.25">
      <c r="A29" s="2">
        <v>28</v>
      </c>
      <c r="B29" s="2">
        <v>65</v>
      </c>
      <c r="C29" s="2">
        <v>67</v>
      </c>
      <c r="F29" t="s">
        <v>37</v>
      </c>
      <c r="G29" s="19">
        <f>[1]!KCORREL(B2:B51,C2:C51)</f>
        <v>0.85243459387926379</v>
      </c>
    </row>
    <row r="30" spans="1:9" x14ac:dyDescent="0.25">
      <c r="A30" s="2">
        <v>29</v>
      </c>
      <c r="B30" s="2">
        <v>66</v>
      </c>
      <c r="C30" s="3">
        <v>53</v>
      </c>
    </row>
    <row r="31" spans="1:9" x14ac:dyDescent="0.25">
      <c r="A31" s="2">
        <v>30</v>
      </c>
      <c r="B31" s="2">
        <v>68</v>
      </c>
      <c r="C31" s="4">
        <v>57</v>
      </c>
      <c r="F31" t="s">
        <v>39</v>
      </c>
      <c r="I31" t="s">
        <v>42</v>
      </c>
    </row>
    <row r="32" spans="1:9" x14ac:dyDescent="0.25">
      <c r="A32" s="2">
        <v>31</v>
      </c>
      <c r="B32" s="2">
        <v>69</v>
      </c>
      <c r="C32" s="2">
        <v>77</v>
      </c>
    </row>
    <row r="33" spans="1:10" x14ac:dyDescent="0.25">
      <c r="A33" s="2">
        <v>32</v>
      </c>
      <c r="B33" s="2">
        <v>70</v>
      </c>
      <c r="C33" s="2">
        <v>71</v>
      </c>
      <c r="F33" t="s">
        <v>20</v>
      </c>
      <c r="G33" s="17">
        <v>0.05</v>
      </c>
      <c r="I33" t="s">
        <v>43</v>
      </c>
      <c r="J33" s="17">
        <v>0</v>
      </c>
    </row>
    <row r="34" spans="1:10" x14ac:dyDescent="0.25">
      <c r="A34" s="2">
        <v>33</v>
      </c>
      <c r="B34" s="2">
        <v>70</v>
      </c>
      <c r="C34" s="2">
        <v>71</v>
      </c>
      <c r="F34" t="s">
        <v>38</v>
      </c>
      <c r="G34" s="19">
        <v>2</v>
      </c>
      <c r="I34" t="s">
        <v>20</v>
      </c>
      <c r="J34" s="18">
        <v>0.05</v>
      </c>
    </row>
    <row r="35" spans="1:10" x14ac:dyDescent="0.25">
      <c r="A35" s="2">
        <v>34</v>
      </c>
      <c r="B35" s="2">
        <v>72</v>
      </c>
      <c r="C35" s="2">
        <v>73</v>
      </c>
      <c r="I35" t="s">
        <v>38</v>
      </c>
      <c r="J35" s="19">
        <v>2</v>
      </c>
    </row>
    <row r="36" spans="1:10" x14ac:dyDescent="0.25">
      <c r="A36" s="2">
        <v>35</v>
      </c>
      <c r="B36" s="2">
        <v>72</v>
      </c>
      <c r="C36" s="4">
        <v>78</v>
      </c>
      <c r="F36" t="s">
        <v>40</v>
      </c>
      <c r="G36" s="21">
        <f>G27</f>
        <v>0.96079144329579225</v>
      </c>
    </row>
    <row r="37" spans="1:10" x14ac:dyDescent="0.25">
      <c r="A37" s="2">
        <v>36</v>
      </c>
      <c r="B37" s="2">
        <v>74</v>
      </c>
      <c r="C37" s="4">
        <v>70</v>
      </c>
      <c r="F37" t="s">
        <v>41</v>
      </c>
      <c r="G37" s="18">
        <f>IFERROR(G36/G38,0)</f>
        <v>4.0020776502542113E-2</v>
      </c>
      <c r="I37" t="s">
        <v>40</v>
      </c>
      <c r="J37" s="17">
        <f>G27</f>
        <v>0.96079144329579225</v>
      </c>
    </row>
    <row r="38" spans="1:10" x14ac:dyDescent="0.25">
      <c r="A38" s="2">
        <v>37</v>
      </c>
      <c r="B38" s="2">
        <v>75</v>
      </c>
      <c r="C38" s="3">
        <v>76</v>
      </c>
      <c r="F38" t="str">
        <f t="array" ref="F38:G41">[1]!CorrelTTest(B2:B51,C2:C51,G33,TRUE,G34)</f>
        <v>t</v>
      </c>
      <c r="G38" s="22">
        <v>24.00731638064951</v>
      </c>
      <c r="I38" t="s">
        <v>41</v>
      </c>
      <c r="J38" s="18">
        <f>1/SQRT([1]!CountPairs(B2:B51,C2:C51,FALSE)-1)</f>
        <v>0.14285714285714285</v>
      </c>
    </row>
    <row r="39" spans="1:10" x14ac:dyDescent="0.25">
      <c r="A39" s="2">
        <v>38</v>
      </c>
      <c r="B39" s="2">
        <v>75</v>
      </c>
      <c r="C39" s="2">
        <v>78</v>
      </c>
      <c r="F39" t="str">
        <v>p-value</v>
      </c>
      <c r="G39" s="22">
        <v>0</v>
      </c>
      <c r="I39" t="str">
        <f t="array" ref="I39:J42">[1]!CorrelTest(B2:B51,C2:C51,J33,J34,TRUE,G34)</f>
        <v>z</v>
      </c>
      <c r="J39" s="18">
        <v>13.410374970370871</v>
      </c>
    </row>
    <row r="40" spans="1:10" x14ac:dyDescent="0.25">
      <c r="A40" s="2">
        <v>39</v>
      </c>
      <c r="B40" s="2">
        <v>76</v>
      </c>
      <c r="C40" s="2">
        <v>80</v>
      </c>
      <c r="F40" t="str">
        <v>lower</v>
      </c>
      <c r="G40" s="22">
        <v>0.88032427903266997</v>
      </c>
      <c r="I40" t="str">
        <v>p-value</v>
      </c>
      <c r="J40" s="18">
        <v>5.2572342593807325E-41</v>
      </c>
    </row>
    <row r="41" spans="1:10" x14ac:dyDescent="0.25">
      <c r="A41" s="2">
        <v>40</v>
      </c>
      <c r="B41" s="2">
        <v>78</v>
      </c>
      <c r="C41" s="4">
        <v>90</v>
      </c>
      <c r="F41" t="str">
        <v>upper</v>
      </c>
      <c r="G41" s="23">
        <v>1.0412586075589145</v>
      </c>
      <c r="I41" t="str">
        <v>lower</v>
      </c>
      <c r="J41" s="18">
        <v>0.93157998558845401</v>
      </c>
    </row>
    <row r="42" spans="1:10" x14ac:dyDescent="0.25">
      <c r="A42" s="2">
        <v>41</v>
      </c>
      <c r="B42" s="2">
        <v>78</v>
      </c>
      <c r="C42" s="3">
        <v>83</v>
      </c>
      <c r="I42" t="str">
        <v>upper</v>
      </c>
      <c r="J42" s="19">
        <v>0.97767541187359097</v>
      </c>
    </row>
    <row r="43" spans="1:10" x14ac:dyDescent="0.25">
      <c r="A43" s="2">
        <v>42</v>
      </c>
      <c r="B43" s="2">
        <v>80</v>
      </c>
      <c r="C43" s="2">
        <v>88</v>
      </c>
    </row>
    <row r="44" spans="1:10" x14ac:dyDescent="0.25">
      <c r="A44" s="2">
        <v>43</v>
      </c>
      <c r="B44" s="2">
        <v>82</v>
      </c>
      <c r="C44" s="2">
        <v>88</v>
      </c>
    </row>
    <row r="45" spans="1:10" x14ac:dyDescent="0.25">
      <c r="A45" s="2">
        <v>44</v>
      </c>
      <c r="B45" s="2">
        <v>83</v>
      </c>
      <c r="C45" s="3">
        <v>92</v>
      </c>
    </row>
    <row r="46" spans="1:10" x14ac:dyDescent="0.25">
      <c r="A46" s="2">
        <v>45</v>
      </c>
      <c r="B46" s="2">
        <v>84</v>
      </c>
      <c r="C46" s="3">
        <v>94</v>
      </c>
    </row>
    <row r="47" spans="1:10" x14ac:dyDescent="0.25">
      <c r="A47" s="2">
        <v>46</v>
      </c>
      <c r="B47" s="2">
        <v>84</v>
      </c>
      <c r="C47" s="2">
        <v>93</v>
      </c>
      <c r="F47" s="24">
        <f>CORREL(B1:B51,C1:C51)</f>
        <v>0.96079144329579225</v>
      </c>
    </row>
    <row r="48" spans="1:10" x14ac:dyDescent="0.25">
      <c r="A48" s="2">
        <v>47</v>
      </c>
      <c r="B48" s="2">
        <v>87</v>
      </c>
      <c r="C48" s="2">
        <v>88</v>
      </c>
    </row>
    <row r="49" spans="1:8" x14ac:dyDescent="0.25">
      <c r="A49" s="2">
        <v>48</v>
      </c>
      <c r="B49" s="2">
        <v>88</v>
      </c>
      <c r="C49" s="4">
        <v>96</v>
      </c>
    </row>
    <row r="50" spans="1:8" x14ac:dyDescent="0.25">
      <c r="A50" s="2">
        <v>49</v>
      </c>
      <c r="B50" s="2">
        <v>90</v>
      </c>
      <c r="C50" s="4">
        <v>93</v>
      </c>
      <c r="F50" t="s">
        <v>83</v>
      </c>
    </row>
    <row r="51" spans="1:8" x14ac:dyDescent="0.25">
      <c r="A51" s="2">
        <v>50</v>
      </c>
      <c r="B51" s="2">
        <v>91</v>
      </c>
      <c r="C51" s="2">
        <v>98</v>
      </c>
    </row>
    <row r="52" spans="1:8" x14ac:dyDescent="0.25">
      <c r="F52" s="30"/>
      <c r="G52" s="30" t="str">
        <f>B1</f>
        <v>Attendance (%)</v>
      </c>
      <c r="H52" s="30" t="str">
        <f>C1</f>
        <v>Exam Result (%)</v>
      </c>
    </row>
    <row r="53" spans="1:8" x14ac:dyDescent="0.25">
      <c r="F53" t="s">
        <v>84</v>
      </c>
      <c r="G53">
        <f>[1]!SHAPIRO(B2:B51)</f>
        <v>0.95960511895927736</v>
      </c>
      <c r="H53">
        <f>[1]!SHAPIRO(C2:C51)</f>
        <v>0.96150001489265347</v>
      </c>
    </row>
    <row r="54" spans="1:8" x14ac:dyDescent="0.25">
      <c r="F54" t="s">
        <v>17</v>
      </c>
      <c r="G54">
        <f>[1]!SWTEST(B2:B51)</f>
        <v>8.5569566887833459E-2</v>
      </c>
      <c r="H54">
        <f>[1]!SWTEST(C2:C51)</f>
        <v>0.1027404323088521</v>
      </c>
    </row>
    <row r="55" spans="1:8" x14ac:dyDescent="0.25">
      <c r="F55" t="s">
        <v>85</v>
      </c>
      <c r="G55">
        <v>0.05</v>
      </c>
      <c r="H55">
        <v>0.05</v>
      </c>
    </row>
    <row r="56" spans="1:8" x14ac:dyDescent="0.25">
      <c r="F56" s="28" t="s">
        <v>86</v>
      </c>
      <c r="G56" s="31" t="str">
        <f>IF(G54&lt;G55,"no","yes")</f>
        <v>yes</v>
      </c>
      <c r="H56" s="31" t="str">
        <f>IF(H54&lt;H55,"no","yes")</f>
        <v>yes</v>
      </c>
    </row>
    <row r="58" spans="1:8" x14ac:dyDescent="0.25">
      <c r="F58" t="s">
        <v>87</v>
      </c>
    </row>
    <row r="60" spans="1:8" x14ac:dyDescent="0.25">
      <c r="F60" s="14" t="s">
        <v>88</v>
      </c>
      <c r="G60" s="14">
        <f>[1]!DAGOSTINO(B2:B51)</f>
        <v>3.2720969366645245</v>
      </c>
      <c r="H60" s="14">
        <f>[1]!DAGOSTINO(C2:C51)</f>
        <v>3.1380270512301225</v>
      </c>
    </row>
    <row r="61" spans="1:8" x14ac:dyDescent="0.25">
      <c r="F61" t="s">
        <v>17</v>
      </c>
      <c r="G61">
        <f>[1]!DPTEST(B2:B51)</f>
        <v>0.19474807702832742</v>
      </c>
      <c r="H61">
        <f>[1]!DPTEST(C2:C51)</f>
        <v>0.20825051486130219</v>
      </c>
    </row>
    <row r="62" spans="1:8" x14ac:dyDescent="0.25">
      <c r="F62" t="s">
        <v>85</v>
      </c>
      <c r="G62">
        <v>0.05</v>
      </c>
      <c r="H62">
        <v>0.05</v>
      </c>
    </row>
    <row r="63" spans="1:8" x14ac:dyDescent="0.25">
      <c r="F63" s="28" t="s">
        <v>86</v>
      </c>
      <c r="G63" s="31" t="str">
        <f>IF(G61&lt;G62,"no","yes")</f>
        <v>yes</v>
      </c>
      <c r="H63" s="31" t="str">
        <f>IF(H61&lt;H62,"no","yes")</f>
        <v>yes</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847B0-8435-4314-BB7B-4E5930AC6F71}">
  <dimension ref="A1:AE54"/>
  <sheetViews>
    <sheetView tabSelected="1" topLeftCell="V1" workbookViewId="0">
      <selection activeCell="AO32" sqref="AO32"/>
    </sheetView>
  </sheetViews>
  <sheetFormatPr defaultRowHeight="15" x14ac:dyDescent="0.25"/>
  <cols>
    <col min="1" max="1" width="11.85546875" bestFit="1" customWidth="1"/>
    <col min="2" max="2" width="14.85546875" bestFit="1" customWidth="1"/>
    <col min="3" max="3" width="15.28515625" bestFit="1" customWidth="1"/>
    <col min="5" max="5" width="18.7109375" bestFit="1" customWidth="1"/>
    <col min="17" max="17" width="8.42578125" bestFit="1" customWidth="1"/>
    <col min="18" max="18" width="15.28515625" bestFit="1" customWidth="1"/>
    <col min="19" max="19" width="15.7109375" bestFit="1" customWidth="1"/>
  </cols>
  <sheetData>
    <row r="1" spans="1:31" x14ac:dyDescent="0.25">
      <c r="A1" s="1" t="s">
        <v>2</v>
      </c>
      <c r="B1" s="5" t="s">
        <v>1</v>
      </c>
      <c r="C1" s="1" t="s">
        <v>0</v>
      </c>
    </row>
    <row r="2" spans="1:31" x14ac:dyDescent="0.25">
      <c r="A2" s="2">
        <v>1</v>
      </c>
      <c r="B2" s="2">
        <v>10</v>
      </c>
      <c r="C2" s="2">
        <v>7</v>
      </c>
      <c r="E2" t="s">
        <v>44</v>
      </c>
      <c r="N2" t="s">
        <v>65</v>
      </c>
      <c r="Q2" t="s">
        <v>66</v>
      </c>
    </row>
    <row r="3" spans="1:31" ht="15.75" thickBot="1" x14ac:dyDescent="0.3">
      <c r="A3" s="2">
        <v>2</v>
      </c>
      <c r="B3" s="2">
        <v>20</v>
      </c>
      <c r="C3" s="3">
        <v>11</v>
      </c>
    </row>
    <row r="4" spans="1:31" ht="16.5" thickTop="1" thickBot="1" x14ac:dyDescent="0.3">
      <c r="A4" s="2">
        <v>3</v>
      </c>
      <c r="B4" s="2">
        <v>22</v>
      </c>
      <c r="C4" s="2">
        <v>15</v>
      </c>
      <c r="E4" s="27" t="s">
        <v>45</v>
      </c>
      <c r="F4" s="27"/>
      <c r="H4" s="27"/>
      <c r="I4" s="27"/>
      <c r="N4" t="s">
        <v>20</v>
      </c>
      <c r="O4" s="12">
        <v>0.05</v>
      </c>
      <c r="Q4" s="13" t="s">
        <v>67</v>
      </c>
      <c r="R4" s="13" t="str">
        <f>B1</f>
        <v>Attendance (%)</v>
      </c>
      <c r="S4" s="13" t="str">
        <f>C1</f>
        <v>Exam Result (%)</v>
      </c>
      <c r="T4" s="13" t="s">
        <v>68</v>
      </c>
      <c r="U4" s="13" t="s">
        <v>59</v>
      </c>
      <c r="V4" s="13" t="s">
        <v>69</v>
      </c>
      <c r="W4" s="13" t="s">
        <v>70</v>
      </c>
      <c r="X4" s="13" t="s">
        <v>71</v>
      </c>
      <c r="Y4" s="13" t="s">
        <v>72</v>
      </c>
      <c r="Z4" s="13" t="s">
        <v>73</v>
      </c>
      <c r="AA4" s="13" t="s">
        <v>66</v>
      </c>
      <c r="AB4" s="13" t="s">
        <v>74</v>
      </c>
    </row>
    <row r="5" spans="1:31" ht="15.75" thickTop="1" x14ac:dyDescent="0.25">
      <c r="A5" s="2">
        <v>4</v>
      </c>
      <c r="B5" s="2">
        <v>27</v>
      </c>
      <c r="C5" s="2">
        <v>29</v>
      </c>
      <c r="E5" t="s">
        <v>46</v>
      </c>
      <c r="F5">
        <f>SQRT(F6)</f>
        <v>0.96079144329579214</v>
      </c>
      <c r="H5" t="s">
        <v>51</v>
      </c>
      <c r="I5">
        <f>F9*LN(G14/F9)+2*(F13+1)</f>
        <v>194.36611320697892</v>
      </c>
      <c r="Q5">
        <v>1</v>
      </c>
      <c r="R5">
        <f t="shared" ref="R5:R54" si="0">B2</f>
        <v>10</v>
      </c>
      <c r="S5">
        <f t="shared" ref="S5:S54" si="1">C2</f>
        <v>7</v>
      </c>
      <c r="T5">
        <f t="array" ref="T5:T54">TREND(C2:C51,B2:B51)</f>
        <v>3.4797876311266922</v>
      </c>
      <c r="U5">
        <f>S5-T5</f>
        <v>3.5202123688733078</v>
      </c>
      <c r="V5">
        <f t="array" ref="V5:V54">[1]!LEVERAGE(B2:B51)</f>
        <v>0.13976025879297321</v>
      </c>
      <c r="W5">
        <f>U5/SQRT($AE$7)</f>
        <v>0.51399033897425972</v>
      </c>
      <c r="X5">
        <f>($AE$7-U5^2/((1-V5)*$AE$6))*$AE$6/($AE$6-1)</f>
        <v>47.597442925325282</v>
      </c>
      <c r="Y5">
        <f>U5/SQRT(X5*(1-V5))</f>
        <v>0.5501325002942834</v>
      </c>
      <c r="Z5">
        <f>_xlfn.T.DIST.2T(ABS(Y5),$AE$6)</f>
        <v>0.58477955872383869</v>
      </c>
      <c r="AA5">
        <f>(U5^2/$AE$7)*(V5/(1-V5)^2)/($AE$8+1)</f>
        <v>2.4947360811109539E-2</v>
      </c>
      <c r="AB5">
        <f>Y5*SQRT(V5/(1-V5))</f>
        <v>0.22174273487642224</v>
      </c>
      <c r="AC5" t="str">
        <f>IF(OR(Z5&lt;0.05,AA5&gt;=1,ABS(AB5)&gt;=1),"*","")</f>
        <v/>
      </c>
      <c r="AD5" t="s">
        <v>75</v>
      </c>
      <c r="AE5" s="17">
        <f>DEVSQ(U5:U54)</f>
        <v>2251.4849821535499</v>
      </c>
    </row>
    <row r="6" spans="1:31" x14ac:dyDescent="0.25">
      <c r="A6" s="2">
        <v>5</v>
      </c>
      <c r="B6" s="2">
        <v>29</v>
      </c>
      <c r="C6" s="4">
        <v>34</v>
      </c>
      <c r="E6" t="s">
        <v>47</v>
      </c>
      <c r="F6">
        <f>G13/G15</f>
        <v>0.9231201975104113</v>
      </c>
      <c r="H6" t="s">
        <v>52</v>
      </c>
      <c r="I6">
        <f>I5+2*(F13+2)*(F13+3)/(F9-F13-3)</f>
        <v>194.8878523374137</v>
      </c>
      <c r="N6" t="str">
        <f t="array" ref="N6:O9">[1]!DURBIN(B2:B51,C2:C51,TRUE,O4)</f>
        <v>D-stat</v>
      </c>
      <c r="O6" s="17">
        <v>1.88668143474122</v>
      </c>
      <c r="Q6">
        <f>Q5+1</f>
        <v>2</v>
      </c>
      <c r="R6">
        <f t="shared" si="0"/>
        <v>20</v>
      </c>
      <c r="S6">
        <f t="shared" si="1"/>
        <v>11</v>
      </c>
      <c r="T6">
        <v>14.942360630496818</v>
      </c>
      <c r="U6">
        <f t="shared" ref="U6:U54" si="2">S6-T6</f>
        <v>-3.9423606304968182</v>
      </c>
      <c r="V6">
        <v>9.6368888854327761E-2</v>
      </c>
      <c r="W6">
        <f t="shared" ref="W6:W54" si="3">U6/SQRT($AE$7)</f>
        <v>-0.57562870204799388</v>
      </c>
      <c r="X6">
        <f t="shared" ref="X6:X54" si="4">($AE$7-U6^2/((1-V6)*$AE$6))*$AE$6/($AE$6-1)</f>
        <v>47.537984177621233</v>
      </c>
      <c r="Y6">
        <f t="shared" ref="Y6:Y54" si="5">U6/SQRT(X6*(1-V6))</f>
        <v>-0.60150657771009974</v>
      </c>
      <c r="Z6">
        <f t="shared" ref="Z6:Z54" si="6">_xlfn.T.DIST.2T(ABS(Y6),$AE$6)</f>
        <v>0.55033311165182797</v>
      </c>
      <c r="AA6">
        <f t="shared" ref="AA6:AA54" si="7">(U6^2/$AE$7)*(V6/(1-V6)^2)/($AE$8+1)</f>
        <v>1.9552819333901489E-2</v>
      </c>
      <c r="AB6">
        <f t="shared" ref="AB6:AB54" si="8">Y6*SQRT(V6/(1-V6))</f>
        <v>-0.19643244358687242</v>
      </c>
      <c r="AC6" t="str">
        <f t="shared" ref="AC6:AC54" si="9">IF(OR(Z6&lt;0.05,AA6&gt;=1,ABS(AB6)&gt;=1),"*","")</f>
        <v/>
      </c>
      <c r="AD6" t="s">
        <v>76</v>
      </c>
      <c r="AE6" s="18">
        <f>COUNT(C2:C51)-AE8-1</f>
        <v>48</v>
      </c>
    </row>
    <row r="7" spans="1:31" x14ac:dyDescent="0.25">
      <c r="A7" s="2">
        <v>6</v>
      </c>
      <c r="B7" s="2">
        <v>31</v>
      </c>
      <c r="C7" s="2">
        <v>23</v>
      </c>
      <c r="E7" t="s">
        <v>48</v>
      </c>
      <c r="F7">
        <f>1-(1-F6)*(F9-1)/(F9-F13-1)</f>
        <v>0.92151853495854485</v>
      </c>
      <c r="H7" s="28" t="s">
        <v>53</v>
      </c>
      <c r="I7" s="28">
        <f>F9*LN(G14/F9)+(F13+1)*LN(F9)</f>
        <v>198.1901592178352</v>
      </c>
      <c r="N7" t="str">
        <v>D-lower</v>
      </c>
      <c r="O7" s="18">
        <v>1.50345</v>
      </c>
      <c r="Q7">
        <f t="shared" ref="Q7:Q54" si="10">Q6+1</f>
        <v>3</v>
      </c>
      <c r="R7">
        <f t="shared" si="0"/>
        <v>22</v>
      </c>
      <c r="S7">
        <f t="shared" si="1"/>
        <v>15</v>
      </c>
      <c r="T7">
        <v>17.234875230370843</v>
      </c>
      <c r="U7">
        <f t="shared" si="2"/>
        <v>-2.234875230370843</v>
      </c>
      <c r="V7">
        <v>8.8857049542368671E-2</v>
      </c>
      <c r="W7">
        <f t="shared" si="3"/>
        <v>-0.32631675502894303</v>
      </c>
      <c r="X7">
        <f t="shared" si="4"/>
        <v>47.787302591650722</v>
      </c>
      <c r="Y7">
        <f t="shared" si="5"/>
        <v>-0.33869108395109671</v>
      </c>
      <c r="Z7">
        <f t="shared" si="6"/>
        <v>0.73631962341730195</v>
      </c>
      <c r="AA7">
        <f t="shared" si="7"/>
        <v>5.698592489844328E-3</v>
      </c>
      <c r="AB7">
        <f t="shared" si="8"/>
        <v>-0.10576852516459664</v>
      </c>
      <c r="AC7" t="str">
        <f t="shared" si="9"/>
        <v/>
      </c>
      <c r="AD7" t="s">
        <v>77</v>
      </c>
      <c r="AE7" s="18">
        <f>AE5/AE6</f>
        <v>46.905937128198957</v>
      </c>
    </row>
    <row r="8" spans="1:31" x14ac:dyDescent="0.25">
      <c r="A8" s="2">
        <v>7</v>
      </c>
      <c r="B8" s="2">
        <v>33</v>
      </c>
      <c r="C8" s="2">
        <v>39</v>
      </c>
      <c r="E8" t="s">
        <v>49</v>
      </c>
      <c r="F8">
        <f>SQRT(H14)</f>
        <v>6.8487909245500314</v>
      </c>
      <c r="N8" t="str">
        <v>D-upper</v>
      </c>
      <c r="O8" s="18">
        <v>1.5848599999999999</v>
      </c>
      <c r="Q8">
        <f t="shared" si="10"/>
        <v>4</v>
      </c>
      <c r="R8">
        <f t="shared" si="0"/>
        <v>27</v>
      </c>
      <c r="S8">
        <f t="shared" si="1"/>
        <v>29</v>
      </c>
      <c r="T8">
        <v>22.966161730055909</v>
      </c>
      <c r="U8">
        <f t="shared" si="2"/>
        <v>6.0338382699440913</v>
      </c>
      <c r="V8">
        <v>7.1778501831302355E-2</v>
      </c>
      <c r="W8">
        <f t="shared" si="3"/>
        <v>0.88100780654806043</v>
      </c>
      <c r="X8">
        <f t="shared" si="4"/>
        <v>47.069413675974353</v>
      </c>
      <c r="Y8">
        <f t="shared" si="5"/>
        <v>0.91284798157548852</v>
      </c>
      <c r="Z8">
        <f t="shared" si="6"/>
        <v>0.3658848597087333</v>
      </c>
      <c r="AA8">
        <f t="shared" si="7"/>
        <v>3.2331113463937189E-2</v>
      </c>
      <c r="AB8">
        <f t="shared" si="8"/>
        <v>0.2538457186312767</v>
      </c>
      <c r="AC8" t="str">
        <f t="shared" si="9"/>
        <v/>
      </c>
      <c r="AD8" t="s">
        <v>78</v>
      </c>
      <c r="AE8" s="19">
        <f>COUNT(B2)</f>
        <v>1</v>
      </c>
    </row>
    <row r="9" spans="1:31" x14ac:dyDescent="0.25">
      <c r="A9" s="2">
        <v>8</v>
      </c>
      <c r="B9" s="2">
        <v>34</v>
      </c>
      <c r="C9" s="2">
        <v>30</v>
      </c>
      <c r="E9" s="28" t="s">
        <v>50</v>
      </c>
      <c r="F9" s="28">
        <f>COUNT(C2:C51)</f>
        <v>50</v>
      </c>
      <c r="N9" t="str">
        <v>sig</v>
      </c>
      <c r="O9" s="29" t="str">
        <v>no</v>
      </c>
      <c r="Q9">
        <f t="shared" si="10"/>
        <v>5</v>
      </c>
      <c r="R9">
        <f t="shared" si="0"/>
        <v>29</v>
      </c>
      <c r="S9">
        <f t="shared" si="1"/>
        <v>34</v>
      </c>
      <c r="T9">
        <v>25.258676329929934</v>
      </c>
      <c r="U9">
        <f t="shared" si="2"/>
        <v>8.7413236700700665</v>
      </c>
      <c r="V9">
        <v>6.5627502974408336E-2</v>
      </c>
      <c r="W9">
        <f t="shared" si="3"/>
        <v>1.2763309270744554</v>
      </c>
      <c r="X9">
        <f t="shared" si="4"/>
        <v>46.163986872726014</v>
      </c>
      <c r="Y9">
        <f t="shared" si="5"/>
        <v>1.3309615938055235</v>
      </c>
      <c r="Z9">
        <f t="shared" si="6"/>
        <v>0.18948941710126649</v>
      </c>
      <c r="AA9">
        <f t="shared" si="7"/>
        <v>6.1226914950136907E-2</v>
      </c>
      <c r="AB9">
        <f t="shared" si="8"/>
        <v>0.35273490741093871</v>
      </c>
      <c r="AC9" t="str">
        <f t="shared" si="9"/>
        <v/>
      </c>
    </row>
    <row r="10" spans="1:31" x14ac:dyDescent="0.25">
      <c r="A10" s="2">
        <v>9</v>
      </c>
      <c r="B10" s="2">
        <v>36</v>
      </c>
      <c r="C10" s="4">
        <v>19</v>
      </c>
      <c r="Q10">
        <f t="shared" si="10"/>
        <v>6</v>
      </c>
      <c r="R10">
        <f t="shared" si="0"/>
        <v>31</v>
      </c>
      <c r="S10">
        <f t="shared" si="1"/>
        <v>23</v>
      </c>
      <c r="T10">
        <v>27.551190929803958</v>
      </c>
      <c r="U10">
        <f t="shared" si="2"/>
        <v>-4.5511909298039583</v>
      </c>
      <c r="V10">
        <v>5.9865315676104341E-2</v>
      </c>
      <c r="W10">
        <f t="shared" si="3"/>
        <v>-0.664524728516657</v>
      </c>
      <c r="X10">
        <f t="shared" si="4"/>
        <v>47.435163235663055</v>
      </c>
      <c r="Y10">
        <f t="shared" si="5"/>
        <v>-0.68152190289152947</v>
      </c>
      <c r="Z10">
        <f t="shared" si="6"/>
        <v>0.49881650798194932</v>
      </c>
      <c r="AA10">
        <f t="shared" si="7"/>
        <v>1.4955034659973949E-2</v>
      </c>
      <c r="AB10">
        <f t="shared" si="8"/>
        <v>-0.1719778117270867</v>
      </c>
      <c r="AC10" t="str">
        <f t="shared" si="9"/>
        <v/>
      </c>
    </row>
    <row r="11" spans="1:31" ht="15.75" thickBot="1" x14ac:dyDescent="0.3">
      <c r="A11" s="2">
        <v>10</v>
      </c>
      <c r="B11" s="2">
        <v>39</v>
      </c>
      <c r="C11" s="4">
        <v>36</v>
      </c>
      <c r="E11" t="s">
        <v>54</v>
      </c>
      <c r="I11" s="2" t="s">
        <v>20</v>
      </c>
      <c r="J11" s="2">
        <v>0.05</v>
      </c>
      <c r="Q11">
        <f t="shared" si="10"/>
        <v>7</v>
      </c>
      <c r="R11">
        <f t="shared" si="0"/>
        <v>33</v>
      </c>
      <c r="S11">
        <f t="shared" si="1"/>
        <v>39</v>
      </c>
      <c r="T11">
        <v>29.843705529677983</v>
      </c>
      <c r="U11">
        <f t="shared" si="2"/>
        <v>9.1562944703220168</v>
      </c>
      <c r="V11">
        <v>5.4491939936390364E-2</v>
      </c>
      <c r="W11">
        <f t="shared" si="3"/>
        <v>1.3369213005905245</v>
      </c>
      <c r="X11">
        <f t="shared" si="4"/>
        <v>46.017350650466483</v>
      </c>
      <c r="Y11">
        <f t="shared" si="5"/>
        <v>1.3881178147846465</v>
      </c>
      <c r="Z11">
        <f t="shared" si="6"/>
        <v>0.17151064829450496</v>
      </c>
      <c r="AA11">
        <f t="shared" si="7"/>
        <v>5.4473275250556209E-2</v>
      </c>
      <c r="AB11">
        <f t="shared" si="8"/>
        <v>0.33324208635393249</v>
      </c>
      <c r="AC11" t="str">
        <f t="shared" si="9"/>
        <v/>
      </c>
    </row>
    <row r="12" spans="1:31" ht="15.75" thickTop="1" x14ac:dyDescent="0.25">
      <c r="A12" s="2">
        <v>11</v>
      </c>
      <c r="B12" s="2">
        <v>40</v>
      </c>
      <c r="C12" s="2">
        <v>34</v>
      </c>
      <c r="E12" s="13"/>
      <c r="F12" s="13" t="s">
        <v>24</v>
      </c>
      <c r="G12" s="13" t="s">
        <v>55</v>
      </c>
      <c r="H12" s="13" t="s">
        <v>56</v>
      </c>
      <c r="I12" s="13" t="s">
        <v>57</v>
      </c>
      <c r="J12" s="13" t="s">
        <v>17</v>
      </c>
      <c r="K12" s="13" t="s">
        <v>29</v>
      </c>
      <c r="Q12">
        <f t="shared" si="10"/>
        <v>8</v>
      </c>
      <c r="R12">
        <f t="shared" si="0"/>
        <v>34</v>
      </c>
      <c r="S12">
        <f t="shared" si="1"/>
        <v>30</v>
      </c>
      <c r="T12">
        <v>30.989962829614996</v>
      </c>
      <c r="U12">
        <f t="shared" si="2"/>
        <v>-0.9899628296149956</v>
      </c>
      <c r="V12">
        <v>5.1951056401004621E-2</v>
      </c>
      <c r="W12">
        <f t="shared" si="3"/>
        <v>-0.14454563448073657</v>
      </c>
      <c r="X12">
        <f t="shared" si="4"/>
        <v>47.881941540353722</v>
      </c>
      <c r="Y12">
        <f t="shared" si="5"/>
        <v>-0.14693242048418106</v>
      </c>
      <c r="Z12">
        <f t="shared" si="6"/>
        <v>0.88380077418213254</v>
      </c>
      <c r="AA12">
        <f t="shared" si="7"/>
        <v>6.0382741891663047E-4</v>
      </c>
      <c r="AB12">
        <f t="shared" si="8"/>
        <v>-3.4395327202896502E-2</v>
      </c>
      <c r="AC12" t="str">
        <f t="shared" si="9"/>
        <v/>
      </c>
    </row>
    <row r="13" spans="1:31" x14ac:dyDescent="0.25">
      <c r="A13" s="2">
        <v>12</v>
      </c>
      <c r="B13" s="2">
        <v>42</v>
      </c>
      <c r="C13" s="2">
        <v>52</v>
      </c>
      <c r="E13" t="s">
        <v>58</v>
      </c>
      <c r="F13">
        <f>COUNT(B2)</f>
        <v>1</v>
      </c>
      <c r="G13">
        <f>DEVSQ(MMULT([1]!DEsign(B2:B51),F18:F19))</f>
        <v>27034.295017846453</v>
      </c>
      <c r="H13">
        <f>G13/F13</f>
        <v>27034.295017846453</v>
      </c>
      <c r="I13">
        <f>H13/H14</f>
        <v>576.35123980060075</v>
      </c>
      <c r="J13">
        <f>_xlfn.F.DIST.RT(I13,F13,F14)</f>
        <v>2.1637257433668942E-28</v>
      </c>
      <c r="K13" s="2" t="str">
        <f>IF(J13&lt;J11,"yes","no")</f>
        <v>yes</v>
      </c>
      <c r="Q13">
        <f t="shared" si="10"/>
        <v>9</v>
      </c>
      <c r="R13">
        <f t="shared" si="0"/>
        <v>36</v>
      </c>
      <c r="S13">
        <f t="shared" si="1"/>
        <v>19</v>
      </c>
      <c r="T13">
        <v>33.28247742948902</v>
      </c>
      <c r="U13">
        <f t="shared" si="2"/>
        <v>-14.28247742948902</v>
      </c>
      <c r="V13">
        <v>4.7160897999175666E-2</v>
      </c>
      <c r="W13">
        <f t="shared" si="3"/>
        <v>-2.0854012900718493</v>
      </c>
      <c r="X13">
        <f t="shared" si="4"/>
        <v>43.348922339724467</v>
      </c>
      <c r="Y13">
        <f t="shared" si="5"/>
        <v>-2.2223098345671155</v>
      </c>
      <c r="Z13">
        <f t="shared" si="6"/>
        <v>3.1008906205854708E-2</v>
      </c>
      <c r="AA13">
        <f t="shared" si="7"/>
        <v>0.11295155228521915</v>
      </c>
      <c r="AB13">
        <f t="shared" si="8"/>
        <v>-0.49440841685028336</v>
      </c>
      <c r="AC13" t="str">
        <f t="shared" si="9"/>
        <v>*</v>
      </c>
    </row>
    <row r="14" spans="1:31" x14ac:dyDescent="0.25">
      <c r="A14" s="2">
        <v>13</v>
      </c>
      <c r="B14" s="2">
        <v>45</v>
      </c>
      <c r="C14" s="2">
        <v>53</v>
      </c>
      <c r="E14" t="s">
        <v>59</v>
      </c>
      <c r="F14">
        <f>F15-F13</f>
        <v>48</v>
      </c>
      <c r="G14">
        <f>G15-G13</f>
        <v>2251.4849821535463</v>
      </c>
      <c r="H14">
        <f>G14/F14</f>
        <v>46.905937128198879</v>
      </c>
      <c r="Q14">
        <f t="shared" si="10"/>
        <v>10</v>
      </c>
      <c r="R14">
        <f t="shared" si="0"/>
        <v>39</v>
      </c>
      <c r="S14">
        <f t="shared" si="1"/>
        <v>36</v>
      </c>
      <c r="T14">
        <v>36.721249329300058</v>
      </c>
      <c r="U14">
        <f t="shared" si="2"/>
        <v>-0.7212493293000577</v>
      </c>
      <c r="V14">
        <v>4.0704682068788502E-2</v>
      </c>
      <c r="W14">
        <f t="shared" si="3"/>
        <v>-0.10531046096248638</v>
      </c>
      <c r="X14">
        <f t="shared" si="4"/>
        <v>47.892398052789417</v>
      </c>
      <c r="Y14">
        <f t="shared" si="5"/>
        <v>-0.10640841351888675</v>
      </c>
      <c r="Z14">
        <f t="shared" si="6"/>
        <v>0.91570179948746566</v>
      </c>
      <c r="AA14">
        <f t="shared" si="7"/>
        <v>2.4527469775053186E-4</v>
      </c>
      <c r="AB14">
        <f t="shared" si="8"/>
        <v>-2.1919063219864164E-2</v>
      </c>
      <c r="AC14" t="str">
        <f t="shared" si="9"/>
        <v/>
      </c>
    </row>
    <row r="15" spans="1:31" x14ac:dyDescent="0.25">
      <c r="A15" s="2">
        <v>14</v>
      </c>
      <c r="B15" s="2">
        <v>45</v>
      </c>
      <c r="C15" s="2">
        <v>51</v>
      </c>
      <c r="E15" s="28" t="s">
        <v>10</v>
      </c>
      <c r="F15" s="28">
        <f>F9-1</f>
        <v>49</v>
      </c>
      <c r="G15" s="28">
        <f>DEVSQ(C2:C51)</f>
        <v>29285.78</v>
      </c>
      <c r="H15" s="28"/>
      <c r="I15" s="28"/>
      <c r="J15" s="28"/>
      <c r="K15" s="28"/>
      <c r="Q15">
        <f t="shared" si="10"/>
        <v>11</v>
      </c>
      <c r="R15">
        <f t="shared" si="0"/>
        <v>40</v>
      </c>
      <c r="S15">
        <f t="shared" si="1"/>
        <v>34</v>
      </c>
      <c r="T15">
        <v>37.86750662923707</v>
      </c>
      <c r="U15">
        <f t="shared" si="2"/>
        <v>-3.8675066292370701</v>
      </c>
      <c r="V15">
        <v>3.8747015871287788E-2</v>
      </c>
      <c r="W15">
        <f t="shared" si="3"/>
        <v>-0.56469918148233789</v>
      </c>
      <c r="X15">
        <f t="shared" si="4"/>
        <v>47.572860648037775</v>
      </c>
      <c r="Y15">
        <f t="shared" si="5"/>
        <v>-0.5719164425853327</v>
      </c>
      <c r="Z15">
        <f t="shared" si="6"/>
        <v>0.57004741171024831</v>
      </c>
      <c r="AA15">
        <f t="shared" si="7"/>
        <v>6.686012425481197E-3</v>
      </c>
      <c r="AB15">
        <f t="shared" si="8"/>
        <v>-0.11482405040247294</v>
      </c>
      <c r="AC15" t="str">
        <f t="shared" si="9"/>
        <v/>
      </c>
    </row>
    <row r="16" spans="1:31" ht="15.75" thickBot="1" x14ac:dyDescent="0.3">
      <c r="A16" s="2">
        <v>15</v>
      </c>
      <c r="B16" s="2">
        <v>49</v>
      </c>
      <c r="C16" s="4">
        <v>38</v>
      </c>
      <c r="Q16">
        <f t="shared" si="10"/>
        <v>12</v>
      </c>
      <c r="R16">
        <f t="shared" si="0"/>
        <v>42</v>
      </c>
      <c r="S16">
        <f t="shared" si="1"/>
        <v>52</v>
      </c>
      <c r="T16">
        <v>40.160021229111095</v>
      </c>
      <c r="U16">
        <f t="shared" si="2"/>
        <v>11.839978770888905</v>
      </c>
      <c r="V16">
        <v>3.5123292145228843E-2</v>
      </c>
      <c r="W16">
        <f t="shared" si="3"/>
        <v>1.728769194639532</v>
      </c>
      <c r="X16">
        <f t="shared" si="4"/>
        <v>44.812699759725682</v>
      </c>
      <c r="Y16">
        <f t="shared" si="5"/>
        <v>1.8005884412507556</v>
      </c>
      <c r="Z16">
        <f t="shared" si="6"/>
        <v>7.8052777933917586E-2</v>
      </c>
      <c r="AA16">
        <f t="shared" si="7"/>
        <v>5.6376174839772308E-2</v>
      </c>
      <c r="AB16">
        <f t="shared" si="8"/>
        <v>0.34353908499808761</v>
      </c>
      <c r="AC16" t="str">
        <f t="shared" si="9"/>
        <v/>
      </c>
    </row>
    <row r="17" spans="1:29" ht="15.75" thickTop="1" x14ac:dyDescent="0.25">
      <c r="A17" s="2">
        <v>16</v>
      </c>
      <c r="B17" s="2">
        <v>50</v>
      </c>
      <c r="C17" s="3">
        <v>41</v>
      </c>
      <c r="E17" s="13"/>
      <c r="F17" s="13" t="s">
        <v>60</v>
      </c>
      <c r="G17" s="13" t="s">
        <v>41</v>
      </c>
      <c r="H17" s="13" t="s">
        <v>61</v>
      </c>
      <c r="I17" s="13" t="s">
        <v>17</v>
      </c>
      <c r="J17" s="13" t="s">
        <v>62</v>
      </c>
      <c r="K17" s="13" t="s">
        <v>63</v>
      </c>
      <c r="Q17">
        <f t="shared" si="10"/>
        <v>13</v>
      </c>
      <c r="R17">
        <f t="shared" si="0"/>
        <v>45</v>
      </c>
      <c r="S17">
        <f t="shared" si="1"/>
        <v>53</v>
      </c>
      <c r="T17">
        <v>43.598793128922132</v>
      </c>
      <c r="U17">
        <f t="shared" si="2"/>
        <v>9.4012068710778678</v>
      </c>
      <c r="V17">
        <v>3.0416728228496739E-2</v>
      </c>
      <c r="W17">
        <f t="shared" si="3"/>
        <v>1.3726812476313872</v>
      </c>
      <c r="X17">
        <f t="shared" si="4"/>
        <v>45.964460518835608</v>
      </c>
      <c r="Y17">
        <f t="shared" si="5"/>
        <v>1.4082506771049044</v>
      </c>
      <c r="Z17">
        <f t="shared" si="6"/>
        <v>0.1655012098609599</v>
      </c>
      <c r="AA17">
        <f t="shared" si="7"/>
        <v>3.0482576702424845E-2</v>
      </c>
      <c r="AB17">
        <f t="shared" si="8"/>
        <v>0.24942711324530109</v>
      </c>
      <c r="AC17" t="str">
        <f t="shared" si="9"/>
        <v/>
      </c>
    </row>
    <row r="18" spans="1:29" x14ac:dyDescent="0.25">
      <c r="A18" s="2">
        <v>17</v>
      </c>
      <c r="B18" s="2">
        <v>53</v>
      </c>
      <c r="C18" s="2">
        <v>51</v>
      </c>
      <c r="E18" t="s">
        <v>64</v>
      </c>
      <c r="F18">
        <f t="array" ref="F18:G19">[1]!RegCoeff(B2:B51,C2:C51)</f>
        <v>-7.9827853682434338</v>
      </c>
      <c r="G18">
        <v>3.0077962107265614</v>
      </c>
      <c r="H18">
        <f>F18/G18</f>
        <v>-2.6540313269146374</v>
      </c>
      <c r="I18">
        <f>_xlfn.T.DIST.2T(ABS(H18),$F$14)</f>
        <v>1.0755325929425085E-2</v>
      </c>
      <c r="J18">
        <f>F18-_xlfn.T.INV.2T(J$11,$F$14)*G18</f>
        <v>-14.030364973380715</v>
      </c>
      <c r="K18">
        <f>F18+_xlfn.T.INV.2T(J$11,$F$14)*G18</f>
        <v>-1.9352057631061523</v>
      </c>
      <c r="Q18">
        <f t="shared" si="10"/>
        <v>14</v>
      </c>
      <c r="R18">
        <f t="shared" si="0"/>
        <v>45</v>
      </c>
      <c r="S18">
        <f t="shared" si="1"/>
        <v>51</v>
      </c>
      <c r="T18">
        <v>43.598793128922132</v>
      </c>
      <c r="U18">
        <f t="shared" si="2"/>
        <v>7.4012068710778678</v>
      </c>
      <c r="V18">
        <v>3.0416728228496739E-2</v>
      </c>
      <c r="W18">
        <f t="shared" si="3"/>
        <v>1.0806589006166989</v>
      </c>
      <c r="X18">
        <f t="shared" si="4"/>
        <v>46.70188694756007</v>
      </c>
      <c r="Y18">
        <f t="shared" si="5"/>
        <v>1.0998735856544417</v>
      </c>
      <c r="Z18">
        <f t="shared" si="6"/>
        <v>0.27687293174560729</v>
      </c>
      <c r="AA18">
        <f t="shared" si="7"/>
        <v>1.8892504890534286E-2</v>
      </c>
      <c r="AB18">
        <f t="shared" si="8"/>
        <v>0.19480785478373294</v>
      </c>
      <c r="AC18" t="str">
        <f t="shared" si="9"/>
        <v/>
      </c>
    </row>
    <row r="19" spans="1:29" x14ac:dyDescent="0.25">
      <c r="A19" s="2">
        <v>18</v>
      </c>
      <c r="B19" s="2">
        <v>55</v>
      </c>
      <c r="C19" s="2">
        <v>67</v>
      </c>
      <c r="E19" s="28" t="str">
        <f t="array" ref="E19">TRANSPOSE(B1)</f>
        <v>Attendance (%)</v>
      </c>
      <c r="F19" s="28">
        <v>1.1462572999370126</v>
      </c>
      <c r="G19" s="28">
        <v>4.7746165450667642E-2</v>
      </c>
      <c r="H19" s="28">
        <f>F19/G19</f>
        <v>24.00731638064946</v>
      </c>
      <c r="I19" s="28">
        <f>_xlfn.T.DIST.2T(ABS(H19),$F$14)</f>
        <v>2.1637257433669866E-28</v>
      </c>
      <c r="J19" s="28">
        <f>F19-_xlfn.T.INV.2T(J$11,$F$14)*G19</f>
        <v>1.050257200138623</v>
      </c>
      <c r="K19" s="28">
        <f>F19+_xlfn.T.INV.2T(J$11,$F$14)*G19</f>
        <v>1.2422573997354023</v>
      </c>
      <c r="Q19">
        <f t="shared" si="10"/>
        <v>15</v>
      </c>
      <c r="R19">
        <f t="shared" si="0"/>
        <v>49</v>
      </c>
      <c r="S19">
        <f t="shared" si="1"/>
        <v>38</v>
      </c>
      <c r="T19">
        <v>48.183822328670189</v>
      </c>
      <c r="U19">
        <f t="shared" si="2"/>
        <v>-10.183822328670189</v>
      </c>
      <c r="V19">
        <v>2.5502150127918972E-2</v>
      </c>
      <c r="W19">
        <f t="shared" si="3"/>
        <v>-1.4869518489994293</v>
      </c>
      <c r="X19">
        <f t="shared" si="4"/>
        <v>45.639589294256432</v>
      </c>
      <c r="Y19">
        <f t="shared" si="5"/>
        <v>-1.5270368147111182</v>
      </c>
      <c r="Z19">
        <f t="shared" si="6"/>
        <v>0.13331506398011764</v>
      </c>
      <c r="AA19">
        <f t="shared" si="7"/>
        <v>2.9687856523780542E-2</v>
      </c>
      <c r="AB19">
        <f t="shared" si="8"/>
        <v>-0.24702872897458183</v>
      </c>
      <c r="AC19" t="str">
        <f t="shared" si="9"/>
        <v/>
      </c>
    </row>
    <row r="20" spans="1:29" x14ac:dyDescent="0.25">
      <c r="A20" s="2">
        <v>19</v>
      </c>
      <c r="B20" s="2">
        <v>56</v>
      </c>
      <c r="C20" s="2">
        <v>59</v>
      </c>
      <c r="Q20">
        <f t="shared" si="10"/>
        <v>16</v>
      </c>
      <c r="R20">
        <f t="shared" si="0"/>
        <v>50</v>
      </c>
      <c r="S20">
        <f t="shared" si="1"/>
        <v>41</v>
      </c>
      <c r="T20">
        <v>49.330079628607201</v>
      </c>
      <c r="U20">
        <f t="shared" si="2"/>
        <v>-8.3300796286072014</v>
      </c>
      <c r="V20">
        <v>2.451651282689328E-2</v>
      </c>
      <c r="W20">
        <f t="shared" si="3"/>
        <v>-1.2162847019825596</v>
      </c>
      <c r="X20">
        <f t="shared" si="4"/>
        <v>46.390442410227244</v>
      </c>
      <c r="Y20">
        <f t="shared" si="5"/>
        <v>-1.2382973249274829</v>
      </c>
      <c r="Z20">
        <f t="shared" si="6"/>
        <v>0.22162803798512404</v>
      </c>
      <c r="AA20">
        <f t="shared" si="7"/>
        <v>1.9057211154548313E-2</v>
      </c>
      <c r="AB20">
        <f t="shared" si="8"/>
        <v>-0.19631085847797378</v>
      </c>
      <c r="AC20" t="str">
        <f t="shared" si="9"/>
        <v/>
      </c>
    </row>
    <row r="21" spans="1:29" x14ac:dyDescent="0.25">
      <c r="A21" s="2">
        <v>20</v>
      </c>
      <c r="B21" s="2">
        <v>57</v>
      </c>
      <c r="C21" s="4">
        <v>47</v>
      </c>
      <c r="Q21">
        <f t="shared" si="10"/>
        <v>17</v>
      </c>
      <c r="R21">
        <f t="shared" si="0"/>
        <v>53</v>
      </c>
      <c r="S21">
        <f t="shared" si="1"/>
        <v>51</v>
      </c>
      <c r="T21">
        <v>52.768851528418239</v>
      </c>
      <c r="U21">
        <f t="shared" si="2"/>
        <v>-1.7688515284182387</v>
      </c>
      <c r="V21">
        <v>2.2142818261701277E-2</v>
      </c>
      <c r="W21">
        <f t="shared" si="3"/>
        <v>-0.25827208742460644</v>
      </c>
      <c r="X21">
        <f t="shared" si="4"/>
        <v>47.835857369425703</v>
      </c>
      <c r="Y21">
        <f t="shared" si="5"/>
        <v>-0.25862880025299534</v>
      </c>
      <c r="Z21">
        <f t="shared" si="6"/>
        <v>0.79702749824056562</v>
      </c>
      <c r="AA21">
        <f t="shared" si="7"/>
        <v>7.7233725758418478E-4</v>
      </c>
      <c r="AB21">
        <f t="shared" si="8"/>
        <v>-3.8918457415425038E-2</v>
      </c>
      <c r="AC21" t="str">
        <f t="shared" si="9"/>
        <v/>
      </c>
    </row>
    <row r="22" spans="1:29" x14ac:dyDescent="0.25">
      <c r="A22" s="2">
        <v>21</v>
      </c>
      <c r="B22" s="2">
        <v>59</v>
      </c>
      <c r="C22" s="2">
        <v>69</v>
      </c>
      <c r="Q22">
        <f t="shared" si="10"/>
        <v>18</v>
      </c>
      <c r="R22">
        <f t="shared" si="0"/>
        <v>55</v>
      </c>
      <c r="S22">
        <f t="shared" si="1"/>
        <v>67</v>
      </c>
      <c r="T22">
        <v>55.061366128292264</v>
      </c>
      <c r="U22">
        <f t="shared" si="2"/>
        <v>11.938633871707736</v>
      </c>
      <c r="V22">
        <v>2.1046369666477428E-2</v>
      </c>
      <c r="W22">
        <f t="shared" si="3"/>
        <v>1.7431739416825751</v>
      </c>
      <c r="X22">
        <f t="shared" si="4"/>
        <v>44.806164944763303</v>
      </c>
      <c r="Y22">
        <f t="shared" si="5"/>
        <v>1.8026220801011257</v>
      </c>
      <c r="Z22">
        <f t="shared" si="6"/>
        <v>7.7727886228467657E-2</v>
      </c>
      <c r="AA22">
        <f t="shared" si="7"/>
        <v>3.3366020039950671E-2</v>
      </c>
      <c r="AB22">
        <f t="shared" si="8"/>
        <v>0.26430916511781055</v>
      </c>
      <c r="AC22" t="str">
        <f t="shared" si="9"/>
        <v/>
      </c>
    </row>
    <row r="23" spans="1:29" x14ac:dyDescent="0.25">
      <c r="A23" s="2">
        <v>22</v>
      </c>
      <c r="B23" s="2">
        <v>60</v>
      </c>
      <c r="C23" s="2">
        <v>58</v>
      </c>
      <c r="Q23">
        <f t="shared" si="10"/>
        <v>19</v>
      </c>
      <c r="R23">
        <f t="shared" si="0"/>
        <v>56</v>
      </c>
      <c r="S23">
        <f t="shared" si="1"/>
        <v>59</v>
      </c>
      <c r="T23">
        <v>56.207623428229276</v>
      </c>
      <c r="U23">
        <f t="shared" si="2"/>
        <v>2.7923765717707241</v>
      </c>
      <c r="V23">
        <v>2.0643949703336755E-2</v>
      </c>
      <c r="W23">
        <f t="shared" si="3"/>
        <v>0.40771818011865824</v>
      </c>
      <c r="X23">
        <f t="shared" si="4"/>
        <v>47.734537313053359</v>
      </c>
      <c r="Y23">
        <f t="shared" si="5"/>
        <v>0.40840149348018512</v>
      </c>
      <c r="Z23">
        <f t="shared" si="6"/>
        <v>0.68479519040828796</v>
      </c>
      <c r="AA23">
        <f t="shared" si="7"/>
        <v>1.7889645280233742E-3</v>
      </c>
      <c r="AB23">
        <f t="shared" si="8"/>
        <v>5.9294363628589017E-2</v>
      </c>
      <c r="AC23" t="str">
        <f t="shared" si="9"/>
        <v/>
      </c>
    </row>
    <row r="24" spans="1:29" x14ac:dyDescent="0.25">
      <c r="A24" s="2">
        <v>23</v>
      </c>
      <c r="B24" s="2">
        <v>60</v>
      </c>
      <c r="C24" s="3">
        <v>51</v>
      </c>
      <c r="Q24">
        <f t="shared" si="10"/>
        <v>20</v>
      </c>
      <c r="R24">
        <f t="shared" si="0"/>
        <v>57</v>
      </c>
      <c r="S24">
        <f t="shared" si="1"/>
        <v>47</v>
      </c>
      <c r="T24">
        <v>57.353880728166281</v>
      </c>
      <c r="U24">
        <f t="shared" si="2"/>
        <v>-10.353880728166281</v>
      </c>
      <c r="V24">
        <v>2.0338732629843613E-2</v>
      </c>
      <c r="W24">
        <f t="shared" si="3"/>
        <v>-1.5117822754746344</v>
      </c>
      <c r="X24">
        <f t="shared" si="4"/>
        <v>45.575670199297264</v>
      </c>
      <c r="Y24">
        <f t="shared" si="5"/>
        <v>-1.5495252479736943</v>
      </c>
      <c r="Z24">
        <f t="shared" si="6"/>
        <v>0.12782436996916696</v>
      </c>
      <c r="AA24">
        <f t="shared" si="7"/>
        <v>2.4217009628158082E-2</v>
      </c>
      <c r="AB24">
        <f t="shared" si="8"/>
        <v>-0.22326602057884551</v>
      </c>
      <c r="AC24" t="str">
        <f t="shared" si="9"/>
        <v/>
      </c>
    </row>
    <row r="25" spans="1:29" x14ac:dyDescent="0.25">
      <c r="A25" s="2">
        <v>24</v>
      </c>
      <c r="B25" s="2">
        <v>62</v>
      </c>
      <c r="C25" s="2">
        <v>70</v>
      </c>
      <c r="Q25">
        <f t="shared" si="10"/>
        <v>21</v>
      </c>
      <c r="R25">
        <f t="shared" si="0"/>
        <v>59</v>
      </c>
      <c r="S25">
        <f t="shared" si="1"/>
        <v>69</v>
      </c>
      <c r="T25">
        <v>59.646395328040306</v>
      </c>
      <c r="U25">
        <f t="shared" si="2"/>
        <v>9.3536046719596939</v>
      </c>
      <c r="V25">
        <v>2.0019907151799812E-2</v>
      </c>
      <c r="W25">
        <f t="shared" si="3"/>
        <v>1.3657307946766124</v>
      </c>
      <c r="X25">
        <f t="shared" si="4"/>
        <v>46.004419993390243</v>
      </c>
      <c r="Y25">
        <f t="shared" si="5"/>
        <v>1.3930625077481991</v>
      </c>
      <c r="Z25">
        <f t="shared" si="6"/>
        <v>0.17001932161104297</v>
      </c>
      <c r="AA25">
        <f t="shared" si="7"/>
        <v>1.9441410045502691E-2</v>
      </c>
      <c r="AB25">
        <f t="shared" si="8"/>
        <v>0.19910996988171825</v>
      </c>
      <c r="AC25" t="str">
        <f t="shared" si="9"/>
        <v/>
      </c>
    </row>
    <row r="26" spans="1:29" x14ac:dyDescent="0.25">
      <c r="A26" s="2">
        <v>25</v>
      </c>
      <c r="B26" s="2">
        <v>63</v>
      </c>
      <c r="C26" s="2">
        <v>63</v>
      </c>
      <c r="Q26">
        <f t="shared" si="10"/>
        <v>22</v>
      </c>
      <c r="R26">
        <f t="shared" si="0"/>
        <v>60</v>
      </c>
      <c r="S26">
        <f t="shared" si="1"/>
        <v>58</v>
      </c>
      <c r="T26">
        <v>60.792652627977326</v>
      </c>
      <c r="U26">
        <f t="shared" si="2"/>
        <v>-2.7926526279773256</v>
      </c>
      <c r="V26">
        <v>2.0006298747249157E-2</v>
      </c>
      <c r="W26">
        <f t="shared" si="3"/>
        <v>-0.40775848740933812</v>
      </c>
      <c r="X26">
        <f t="shared" si="4"/>
        <v>47.734614061739812</v>
      </c>
      <c r="Y26">
        <f t="shared" si="5"/>
        <v>-0.40830863834438164</v>
      </c>
      <c r="Z26">
        <f t="shared" si="6"/>
        <v>0.68486288964079778</v>
      </c>
      <c r="AA26">
        <f t="shared" si="7"/>
        <v>1.7317938955308354E-3</v>
      </c>
      <c r="AB26">
        <f t="shared" si="8"/>
        <v>-5.8339177354041025E-2</v>
      </c>
      <c r="AC26" t="str">
        <f t="shared" si="9"/>
        <v/>
      </c>
    </row>
    <row r="27" spans="1:29" x14ac:dyDescent="0.25">
      <c r="A27" s="2">
        <v>26</v>
      </c>
      <c r="B27" s="2">
        <v>63</v>
      </c>
      <c r="C27" s="3">
        <v>53</v>
      </c>
      <c r="Q27">
        <f t="shared" si="10"/>
        <v>23</v>
      </c>
      <c r="R27">
        <f t="shared" si="0"/>
        <v>60</v>
      </c>
      <c r="S27">
        <f t="shared" si="1"/>
        <v>51</v>
      </c>
      <c r="T27">
        <v>60.792652627977326</v>
      </c>
      <c r="U27">
        <f t="shared" si="2"/>
        <v>-9.7926526279773256</v>
      </c>
      <c r="V27">
        <v>2.0006298747249157E-2</v>
      </c>
      <c r="W27">
        <f t="shared" si="3"/>
        <v>-1.4298367019607476</v>
      </c>
      <c r="X27">
        <f t="shared" si="4"/>
        <v>45.82194139518657</v>
      </c>
      <c r="Y27">
        <f t="shared" si="5"/>
        <v>-1.4613423291867902</v>
      </c>
      <c r="Z27">
        <f t="shared" si="6"/>
        <v>0.15043747184867179</v>
      </c>
      <c r="AA27">
        <f t="shared" si="7"/>
        <v>2.1294285209071617E-2</v>
      </c>
      <c r="AB27">
        <f t="shared" si="8"/>
        <v>-0.20879673196012521</v>
      </c>
      <c r="AC27" t="str">
        <f t="shared" si="9"/>
        <v/>
      </c>
    </row>
    <row r="28" spans="1:29" x14ac:dyDescent="0.25">
      <c r="A28" s="2">
        <v>27</v>
      </c>
      <c r="B28" s="2">
        <v>65</v>
      </c>
      <c r="C28" s="2">
        <v>65</v>
      </c>
      <c r="Q28">
        <f t="shared" si="10"/>
        <v>24</v>
      </c>
      <c r="R28">
        <f t="shared" si="0"/>
        <v>62</v>
      </c>
      <c r="S28">
        <f t="shared" si="1"/>
        <v>70</v>
      </c>
      <c r="T28">
        <v>63.08516722785135</v>
      </c>
      <c r="U28">
        <f t="shared" si="2"/>
        <v>6.9148327721486496</v>
      </c>
      <c r="V28">
        <v>2.0270690607090351E-2</v>
      </c>
      <c r="W28">
        <f t="shared" si="3"/>
        <v>1.0096428476684665</v>
      </c>
      <c r="X28">
        <f t="shared" si="4"/>
        <v>46.865548402153891</v>
      </c>
      <c r="Y28">
        <f t="shared" si="5"/>
        <v>1.0204736137430119</v>
      </c>
      <c r="Z28">
        <f t="shared" si="6"/>
        <v>0.31261985073780302</v>
      </c>
      <c r="AA28">
        <f t="shared" si="7"/>
        <v>1.0763707674287911E-2</v>
      </c>
      <c r="AB28">
        <f t="shared" si="8"/>
        <v>0.14678544775789024</v>
      </c>
      <c r="AC28" t="str">
        <f t="shared" si="9"/>
        <v/>
      </c>
    </row>
    <row r="29" spans="1:29" x14ac:dyDescent="0.25">
      <c r="A29" s="2">
        <v>28</v>
      </c>
      <c r="B29" s="2">
        <v>65</v>
      </c>
      <c r="C29" s="2">
        <v>67</v>
      </c>
      <c r="Q29">
        <f t="shared" si="10"/>
        <v>25</v>
      </c>
      <c r="R29">
        <f t="shared" si="0"/>
        <v>63</v>
      </c>
      <c r="S29">
        <f t="shared" si="1"/>
        <v>63</v>
      </c>
      <c r="T29">
        <v>64.231424527788363</v>
      </c>
      <c r="U29">
        <f t="shared" si="2"/>
        <v>-1.2314245277883629</v>
      </c>
      <c r="V29">
        <v>2.0548690871482228E-2</v>
      </c>
      <c r="W29">
        <f t="shared" si="3"/>
        <v>-0.17980174038810609</v>
      </c>
      <c r="X29">
        <f t="shared" si="4"/>
        <v>47.870994933749721</v>
      </c>
      <c r="Y29">
        <f t="shared" si="5"/>
        <v>-0.17983745473163817</v>
      </c>
      <c r="Z29">
        <f t="shared" si="6"/>
        <v>0.8580372415087667</v>
      </c>
      <c r="AA29">
        <f t="shared" si="7"/>
        <v>3.4623920616102193E-4</v>
      </c>
      <c r="AB29">
        <f t="shared" si="8"/>
        <v>-2.6048384937425853E-2</v>
      </c>
      <c r="AC29" t="str">
        <f t="shared" si="9"/>
        <v/>
      </c>
    </row>
    <row r="30" spans="1:29" x14ac:dyDescent="0.25">
      <c r="A30" s="2">
        <v>29</v>
      </c>
      <c r="B30" s="2">
        <v>66</v>
      </c>
      <c r="C30" s="3">
        <v>53</v>
      </c>
      <c r="Q30">
        <f t="shared" si="10"/>
        <v>26</v>
      </c>
      <c r="R30">
        <f t="shared" si="0"/>
        <v>63</v>
      </c>
      <c r="S30">
        <f t="shared" si="1"/>
        <v>53</v>
      </c>
      <c r="T30">
        <v>64.231424527788363</v>
      </c>
      <c r="U30">
        <f t="shared" si="2"/>
        <v>-11.231424527788363</v>
      </c>
      <c r="V30">
        <v>2.0548690871482228E-2</v>
      </c>
      <c r="W30">
        <f t="shared" si="3"/>
        <v>-1.6399134754615483</v>
      </c>
      <c r="X30">
        <f t="shared" si="4"/>
        <v>45.163693420023428</v>
      </c>
      <c r="Y30">
        <f t="shared" si="5"/>
        <v>-1.6886851809785575</v>
      </c>
      <c r="Z30">
        <f t="shared" si="6"/>
        <v>9.7767029542471892E-2</v>
      </c>
      <c r="AA30">
        <f t="shared" si="7"/>
        <v>2.8802509606994563E-2</v>
      </c>
      <c r="AB30">
        <f t="shared" si="8"/>
        <v>-0.24459599752396596</v>
      </c>
      <c r="AC30" t="str">
        <f t="shared" si="9"/>
        <v/>
      </c>
    </row>
    <row r="31" spans="1:29" x14ac:dyDescent="0.25">
      <c r="A31" s="2">
        <v>30</v>
      </c>
      <c r="B31" s="2">
        <v>68</v>
      </c>
      <c r="C31" s="4">
        <v>57</v>
      </c>
      <c r="Q31">
        <f t="shared" si="10"/>
        <v>27</v>
      </c>
      <c r="R31">
        <f t="shared" si="0"/>
        <v>65</v>
      </c>
      <c r="S31">
        <f t="shared" si="1"/>
        <v>65</v>
      </c>
      <c r="T31">
        <v>66.523939127662402</v>
      </c>
      <c r="U31">
        <f t="shared" si="2"/>
        <v>-1.5239391276624019</v>
      </c>
      <c r="V31">
        <v>2.1396300069208441E-2</v>
      </c>
      <c r="W31">
        <f t="shared" si="3"/>
        <v>-0.22251214038374575</v>
      </c>
      <c r="X31">
        <f t="shared" si="4"/>
        <v>47.853442865648255</v>
      </c>
      <c r="Y31">
        <f t="shared" si="5"/>
        <v>-0.2226935295656845</v>
      </c>
      <c r="Z31">
        <f t="shared" si="6"/>
        <v>0.8247189592488593</v>
      </c>
      <c r="AA31">
        <f t="shared" si="7"/>
        <v>5.5309839736319359E-4</v>
      </c>
      <c r="AB31">
        <f t="shared" si="8"/>
        <v>-3.2928618604944393E-2</v>
      </c>
      <c r="AC31" t="str">
        <f t="shared" si="9"/>
        <v/>
      </c>
    </row>
    <row r="32" spans="1:29" x14ac:dyDescent="0.25">
      <c r="A32" s="2">
        <v>31</v>
      </c>
      <c r="B32" s="2">
        <v>69</v>
      </c>
      <c r="C32" s="2">
        <v>77</v>
      </c>
      <c r="Q32">
        <f t="shared" si="10"/>
        <v>28</v>
      </c>
      <c r="R32">
        <f t="shared" si="0"/>
        <v>65</v>
      </c>
      <c r="S32">
        <f t="shared" si="1"/>
        <v>67</v>
      </c>
      <c r="T32">
        <v>66.523939127662402</v>
      </c>
      <c r="U32">
        <f t="shared" si="2"/>
        <v>0.47606087233759808</v>
      </c>
      <c r="V32">
        <v>2.1396300069208441E-2</v>
      </c>
      <c r="W32">
        <f t="shared" si="3"/>
        <v>6.9510206630942678E-2</v>
      </c>
      <c r="X32">
        <f t="shared" si="4"/>
        <v>47.899008362753506</v>
      </c>
      <c r="Y32">
        <f t="shared" si="5"/>
        <v>6.9533773750769898E-2</v>
      </c>
      <c r="Z32">
        <f t="shared" si="6"/>
        <v>0.94485362787662852</v>
      </c>
      <c r="AA32">
        <f t="shared" si="7"/>
        <v>5.3974936057819122E-5</v>
      </c>
      <c r="AB32">
        <f t="shared" si="8"/>
        <v>1.0281623900196222E-2</v>
      </c>
      <c r="AC32" t="str">
        <f t="shared" si="9"/>
        <v/>
      </c>
    </row>
    <row r="33" spans="1:29" x14ac:dyDescent="0.25">
      <c r="A33" s="2">
        <v>32</v>
      </c>
      <c r="B33" s="2">
        <v>70</v>
      </c>
      <c r="C33" s="2">
        <v>71</v>
      </c>
      <c r="Q33">
        <f t="shared" si="10"/>
        <v>29</v>
      </c>
      <c r="R33">
        <f t="shared" si="0"/>
        <v>66</v>
      </c>
      <c r="S33">
        <f t="shared" si="1"/>
        <v>53</v>
      </c>
      <c r="T33">
        <v>67.670196427599393</v>
      </c>
      <c r="U33">
        <f t="shared" si="2"/>
        <v>-14.670196427599393</v>
      </c>
      <c r="V33">
        <v>2.1965909002542833E-2</v>
      </c>
      <c r="W33">
        <f t="shared" si="3"/>
        <v>-2.1420125959770364</v>
      </c>
      <c r="X33">
        <f t="shared" si="4"/>
        <v>43.222058716991128</v>
      </c>
      <c r="Y33">
        <f t="shared" si="5"/>
        <v>-2.2563486518757889</v>
      </c>
      <c r="Z33">
        <f t="shared" si="6"/>
        <v>2.8640541492438304E-2</v>
      </c>
      <c r="AA33">
        <f t="shared" si="7"/>
        <v>5.2681149047978847E-2</v>
      </c>
      <c r="AB33">
        <f t="shared" si="8"/>
        <v>-0.33814564723681528</v>
      </c>
      <c r="AC33" t="str">
        <f t="shared" si="9"/>
        <v>*</v>
      </c>
    </row>
    <row r="34" spans="1:29" x14ac:dyDescent="0.25">
      <c r="A34" s="2">
        <v>33</v>
      </c>
      <c r="B34" s="2">
        <v>70</v>
      </c>
      <c r="C34" s="2">
        <v>71</v>
      </c>
      <c r="Q34">
        <f t="shared" si="10"/>
        <v>30</v>
      </c>
      <c r="R34">
        <f t="shared" si="0"/>
        <v>68</v>
      </c>
      <c r="S34">
        <f t="shared" si="1"/>
        <v>57</v>
      </c>
      <c r="T34">
        <v>69.962711027473432</v>
      </c>
      <c r="U34">
        <f t="shared" si="2"/>
        <v>-12.962711027473432</v>
      </c>
      <c r="V34">
        <v>2.3396735538154065E-2</v>
      </c>
      <c r="W34">
        <f t="shared" si="3"/>
        <v>-1.8927006489579876</v>
      </c>
      <c r="X34">
        <f t="shared" si="4"/>
        <v>44.243138767682701</v>
      </c>
      <c r="Y34">
        <f t="shared" si="5"/>
        <v>-1.972031232308419</v>
      </c>
      <c r="Z34">
        <f t="shared" si="6"/>
        <v>5.4383165800371211E-2</v>
      </c>
      <c r="AA34">
        <f t="shared" si="7"/>
        <v>4.3939265128613562E-2</v>
      </c>
      <c r="AB34">
        <f t="shared" si="8"/>
        <v>-0.30523359802645061</v>
      </c>
      <c r="AC34" t="str">
        <f t="shared" si="9"/>
        <v/>
      </c>
    </row>
    <row r="35" spans="1:29" x14ac:dyDescent="0.25">
      <c r="A35" s="2">
        <v>34</v>
      </c>
      <c r="B35" s="2">
        <v>72</v>
      </c>
      <c r="C35" s="2">
        <v>73</v>
      </c>
      <c r="Q35">
        <f t="shared" si="10"/>
        <v>31</v>
      </c>
      <c r="R35">
        <f t="shared" si="0"/>
        <v>69</v>
      </c>
      <c r="S35">
        <f t="shared" si="1"/>
        <v>77</v>
      </c>
      <c r="T35">
        <v>71.108968327410452</v>
      </c>
      <c r="U35">
        <f t="shared" si="2"/>
        <v>5.8910316725895484</v>
      </c>
      <c r="V35">
        <v>2.4257953140430936E-2</v>
      </c>
      <c r="W35">
        <f t="shared" si="3"/>
        <v>0.86015644768373278</v>
      </c>
      <c r="X35">
        <f t="shared" si="4"/>
        <v>47.147190307493474</v>
      </c>
      <c r="Y35">
        <f t="shared" si="5"/>
        <v>0.8685522294619219</v>
      </c>
      <c r="Z35">
        <f t="shared" si="6"/>
        <v>0.38941419787085441</v>
      </c>
      <c r="AA35">
        <f t="shared" si="7"/>
        <v>9.4256002129371932E-3</v>
      </c>
      <c r="AB35">
        <f t="shared" si="8"/>
        <v>0.13694794058642365</v>
      </c>
      <c r="AC35" t="str">
        <f t="shared" si="9"/>
        <v/>
      </c>
    </row>
    <row r="36" spans="1:29" x14ac:dyDescent="0.25">
      <c r="A36" s="2">
        <v>35</v>
      </c>
      <c r="B36" s="2">
        <v>72</v>
      </c>
      <c r="C36" s="4">
        <v>78</v>
      </c>
      <c r="Q36">
        <f t="shared" si="10"/>
        <v>32</v>
      </c>
      <c r="R36">
        <f t="shared" si="0"/>
        <v>70</v>
      </c>
      <c r="S36">
        <f t="shared" si="1"/>
        <v>71</v>
      </c>
      <c r="T36">
        <v>72.255225627347443</v>
      </c>
      <c r="U36">
        <f t="shared" si="2"/>
        <v>-1.2552256273474427</v>
      </c>
      <c r="V36">
        <v>2.5216373632355335E-2</v>
      </c>
      <c r="W36">
        <f t="shared" si="3"/>
        <v>-0.18327696686549247</v>
      </c>
      <c r="X36">
        <f t="shared" si="4"/>
        <v>47.86954536800156</v>
      </c>
      <c r="Y36">
        <f t="shared" si="5"/>
        <v>-0.18375452106550677</v>
      </c>
      <c r="Z36">
        <f t="shared" si="6"/>
        <v>0.8549801019428771</v>
      </c>
      <c r="AA36">
        <f t="shared" si="7"/>
        <v>4.4570957265374037E-4</v>
      </c>
      <c r="AB36">
        <f t="shared" si="8"/>
        <v>-2.9554610202376166E-2</v>
      </c>
      <c r="AC36" t="str">
        <f t="shared" si="9"/>
        <v/>
      </c>
    </row>
    <row r="37" spans="1:29" x14ac:dyDescent="0.25">
      <c r="A37" s="2">
        <v>36</v>
      </c>
      <c r="B37" s="2">
        <v>74</v>
      </c>
      <c r="C37" s="4">
        <v>70</v>
      </c>
      <c r="Q37">
        <f t="shared" si="10"/>
        <v>33</v>
      </c>
      <c r="R37">
        <f t="shared" si="0"/>
        <v>70</v>
      </c>
      <c r="S37">
        <f t="shared" si="1"/>
        <v>71</v>
      </c>
      <c r="T37">
        <v>72.255225627347443</v>
      </c>
      <c r="U37">
        <f t="shared" si="2"/>
        <v>-1.2552256273474427</v>
      </c>
      <c r="V37">
        <v>2.5216373632355335E-2</v>
      </c>
      <c r="W37">
        <f t="shared" si="3"/>
        <v>-0.18327696686549247</v>
      </c>
      <c r="X37">
        <f t="shared" si="4"/>
        <v>47.86954536800156</v>
      </c>
      <c r="Y37">
        <f t="shared" si="5"/>
        <v>-0.18375452106550677</v>
      </c>
      <c r="Z37">
        <f t="shared" si="6"/>
        <v>0.8549801019428771</v>
      </c>
      <c r="AA37">
        <f t="shared" si="7"/>
        <v>4.4570957265374037E-4</v>
      </c>
      <c r="AB37">
        <f t="shared" si="8"/>
        <v>-2.9554610202376166E-2</v>
      </c>
      <c r="AC37" t="str">
        <f t="shared" si="9"/>
        <v/>
      </c>
    </row>
    <row r="38" spans="1:29" x14ac:dyDescent="0.25">
      <c r="A38" s="2">
        <v>37</v>
      </c>
      <c r="B38" s="2">
        <v>75</v>
      </c>
      <c r="C38" s="3">
        <v>76</v>
      </c>
      <c r="Q38">
        <f t="shared" si="10"/>
        <v>34</v>
      </c>
      <c r="R38">
        <f t="shared" si="0"/>
        <v>72</v>
      </c>
      <c r="S38">
        <f t="shared" si="1"/>
        <v>73</v>
      </c>
      <c r="T38">
        <v>74.547740227221482</v>
      </c>
      <c r="U38">
        <f t="shared" si="2"/>
        <v>-1.5477402272214817</v>
      </c>
      <c r="V38">
        <v>2.7424823285146629E-2</v>
      </c>
      <c r="W38">
        <f t="shared" si="3"/>
        <v>-0.22598736686113213</v>
      </c>
      <c r="X38">
        <f t="shared" si="4"/>
        <v>47.851530503686725</v>
      </c>
      <c r="Y38">
        <f t="shared" si="5"/>
        <v>-0.22687600363590854</v>
      </c>
      <c r="Z38">
        <f t="shared" si="6"/>
        <v>0.82148364496172732</v>
      </c>
      <c r="AA38">
        <f t="shared" si="7"/>
        <v>7.4034782433051057E-4</v>
      </c>
      <c r="AB38">
        <f t="shared" si="8"/>
        <v>-3.8097711797297082E-2</v>
      </c>
      <c r="AC38" t="str">
        <f t="shared" si="9"/>
        <v/>
      </c>
    </row>
    <row r="39" spans="1:29" x14ac:dyDescent="0.25">
      <c r="A39" s="2">
        <v>38</v>
      </c>
      <c r="B39" s="2">
        <v>75</v>
      </c>
      <c r="C39" s="2">
        <v>78</v>
      </c>
      <c r="Q39">
        <f t="shared" si="10"/>
        <v>35</v>
      </c>
      <c r="R39">
        <f t="shared" si="0"/>
        <v>72</v>
      </c>
      <c r="S39">
        <f t="shared" si="1"/>
        <v>78</v>
      </c>
      <c r="T39">
        <v>74.547740227221482</v>
      </c>
      <c r="U39">
        <f t="shared" si="2"/>
        <v>3.4522597727785183</v>
      </c>
      <c r="V39">
        <v>2.7424823285146629E-2</v>
      </c>
      <c r="W39">
        <f t="shared" si="3"/>
        <v>0.50406850067558895</v>
      </c>
      <c r="X39">
        <f t="shared" si="4"/>
        <v>47.643208857047881</v>
      </c>
      <c r="Y39">
        <f t="shared" si="5"/>
        <v>0.50715577498239928</v>
      </c>
      <c r="Z39">
        <f t="shared" si="6"/>
        <v>0.6143677275942645</v>
      </c>
      <c r="AA39">
        <f t="shared" si="7"/>
        <v>3.6833806216974526E-3</v>
      </c>
      <c r="AB39">
        <f t="shared" si="8"/>
        <v>8.5163147454860283E-2</v>
      </c>
      <c r="AC39" t="str">
        <f t="shared" si="9"/>
        <v/>
      </c>
    </row>
    <row r="40" spans="1:29" x14ac:dyDescent="0.25">
      <c r="A40" s="2">
        <v>39</v>
      </c>
      <c r="B40" s="2">
        <v>76</v>
      </c>
      <c r="C40" s="2">
        <v>80</v>
      </c>
      <c r="Q40">
        <f t="shared" si="10"/>
        <v>36</v>
      </c>
      <c r="R40">
        <f t="shared" si="0"/>
        <v>74</v>
      </c>
      <c r="S40">
        <f t="shared" si="1"/>
        <v>70</v>
      </c>
      <c r="T40">
        <v>76.840254827095492</v>
      </c>
      <c r="U40">
        <f t="shared" si="2"/>
        <v>-6.8402548270954924</v>
      </c>
      <c r="V40">
        <v>3.0022084496527893E-2</v>
      </c>
      <c r="W40">
        <f t="shared" si="3"/>
        <v>-0.99875363439348885</v>
      </c>
      <c r="X40">
        <f t="shared" si="4"/>
        <v>46.877610907951961</v>
      </c>
      <c r="Y40">
        <f t="shared" si="5"/>
        <v>-1.0143985577692001</v>
      </c>
      <c r="Z40">
        <f t="shared" si="6"/>
        <v>0.3154787528968197</v>
      </c>
      <c r="AA40">
        <f t="shared" si="7"/>
        <v>1.5914899481606397E-2</v>
      </c>
      <c r="AB40">
        <f t="shared" si="8"/>
        <v>-0.17846297208954456</v>
      </c>
      <c r="AC40" t="str">
        <f t="shared" si="9"/>
        <v/>
      </c>
    </row>
    <row r="41" spans="1:29" x14ac:dyDescent="0.25">
      <c r="A41" s="2">
        <v>40</v>
      </c>
      <c r="B41" s="2">
        <v>78</v>
      </c>
      <c r="C41" s="4">
        <v>90</v>
      </c>
      <c r="Q41">
        <f t="shared" si="10"/>
        <v>37</v>
      </c>
      <c r="R41">
        <f t="shared" si="0"/>
        <v>75</v>
      </c>
      <c r="S41">
        <f t="shared" si="1"/>
        <v>76</v>
      </c>
      <c r="T41">
        <v>77.986512127032512</v>
      </c>
      <c r="U41">
        <f t="shared" si="2"/>
        <v>-1.9865121270325119</v>
      </c>
      <c r="V41">
        <v>3.1466519436689787E-2</v>
      </c>
      <c r="W41">
        <f t="shared" si="3"/>
        <v>-0.29005296685458754</v>
      </c>
      <c r="X41">
        <f t="shared" si="4"/>
        <v>47.817245602420364</v>
      </c>
      <c r="Y41">
        <f t="shared" si="5"/>
        <v>-0.29190506017955387</v>
      </c>
      <c r="Z41">
        <f t="shared" si="6"/>
        <v>0.77161713897315454</v>
      </c>
      <c r="AA41">
        <f t="shared" si="7"/>
        <v>1.4110553826635099E-3</v>
      </c>
      <c r="AB41">
        <f t="shared" si="8"/>
        <v>-5.2614888968606013E-2</v>
      </c>
      <c r="AC41" t="str">
        <f t="shared" si="9"/>
        <v/>
      </c>
    </row>
    <row r="42" spans="1:29" x14ac:dyDescent="0.25">
      <c r="A42" s="2">
        <v>41</v>
      </c>
      <c r="B42" s="2">
        <v>78</v>
      </c>
      <c r="C42" s="3">
        <v>83</v>
      </c>
      <c r="Q42">
        <f t="shared" si="10"/>
        <v>38</v>
      </c>
      <c r="R42">
        <f t="shared" si="0"/>
        <v>75</v>
      </c>
      <c r="S42">
        <f t="shared" si="1"/>
        <v>78</v>
      </c>
      <c r="T42">
        <v>77.986512127032512</v>
      </c>
      <c r="U42">
        <f t="shared" si="2"/>
        <v>1.3487872967488101E-2</v>
      </c>
      <c r="V42">
        <v>3.1466519436689787E-2</v>
      </c>
      <c r="W42">
        <f t="shared" si="3"/>
        <v>1.9693801601009231E-3</v>
      </c>
      <c r="X42">
        <f t="shared" si="4"/>
        <v>47.903931794050557</v>
      </c>
      <c r="Y42">
        <f t="shared" si="5"/>
        <v>1.9801612968163079E-3</v>
      </c>
      <c r="Z42">
        <f t="shared" si="6"/>
        <v>0.99842826779272031</v>
      </c>
      <c r="AA42">
        <f t="shared" si="7"/>
        <v>6.5050187467261206E-8</v>
      </c>
      <c r="AB42">
        <f t="shared" si="8"/>
        <v>3.5691730286496249E-4</v>
      </c>
      <c r="AC42" t="str">
        <f t="shared" si="9"/>
        <v/>
      </c>
    </row>
    <row r="43" spans="1:29" x14ac:dyDescent="0.25">
      <c r="A43" s="2">
        <v>42</v>
      </c>
      <c r="B43" s="2">
        <v>80</v>
      </c>
      <c r="C43" s="2">
        <v>88</v>
      </c>
      <c r="Q43">
        <f t="shared" si="10"/>
        <v>39</v>
      </c>
      <c r="R43">
        <f t="shared" si="0"/>
        <v>76</v>
      </c>
      <c r="S43">
        <f t="shared" si="1"/>
        <v>80</v>
      </c>
      <c r="T43">
        <v>79.132769426969531</v>
      </c>
      <c r="U43">
        <f t="shared" si="2"/>
        <v>0.86723057303046858</v>
      </c>
      <c r="V43">
        <v>3.3008157266499208E-2</v>
      </c>
      <c r="W43">
        <f t="shared" si="3"/>
        <v>0.1266253536696253</v>
      </c>
      <c r="X43">
        <f t="shared" si="4"/>
        <v>47.887387676984694</v>
      </c>
      <c r="Y43">
        <f t="shared" si="5"/>
        <v>0.12744200677679365</v>
      </c>
      <c r="Z43">
        <f t="shared" si="6"/>
        <v>0.89912298209761898</v>
      </c>
      <c r="AA43">
        <f t="shared" si="7"/>
        <v>2.8300037165497974E-4</v>
      </c>
      <c r="AB43">
        <f t="shared" si="8"/>
        <v>2.3545712462181154E-2</v>
      </c>
      <c r="AC43" t="str">
        <f t="shared" si="9"/>
        <v/>
      </c>
    </row>
    <row r="44" spans="1:29" x14ac:dyDescent="0.25">
      <c r="A44" s="2">
        <v>43</v>
      </c>
      <c r="B44" s="2">
        <v>82</v>
      </c>
      <c r="C44" s="2">
        <v>88</v>
      </c>
      <c r="Q44">
        <f t="shared" si="10"/>
        <v>40</v>
      </c>
      <c r="R44">
        <f t="shared" si="0"/>
        <v>78</v>
      </c>
      <c r="S44">
        <f t="shared" si="1"/>
        <v>90</v>
      </c>
      <c r="T44">
        <v>81.425284026843542</v>
      </c>
      <c r="U44">
        <f t="shared" si="2"/>
        <v>8.5747159731564579</v>
      </c>
      <c r="V44">
        <v>3.6383041595060533E-2</v>
      </c>
      <c r="W44">
        <f t="shared" si="3"/>
        <v>1.2520043417327436</v>
      </c>
      <c r="X44">
        <f t="shared" si="4"/>
        <v>46.280492230829431</v>
      </c>
      <c r="Y44">
        <f t="shared" si="5"/>
        <v>1.2840104006553543</v>
      </c>
      <c r="Z44">
        <f t="shared" si="6"/>
        <v>0.20530173312977762</v>
      </c>
      <c r="AA44">
        <f t="shared" si="7"/>
        <v>3.0709433731793006E-2</v>
      </c>
      <c r="AB44">
        <f t="shared" si="8"/>
        <v>0.24949728603991428</v>
      </c>
      <c r="AC44" t="str">
        <f t="shared" si="9"/>
        <v/>
      </c>
    </row>
    <row r="45" spans="1:29" x14ac:dyDescent="0.25">
      <c r="A45" s="2">
        <v>44</v>
      </c>
      <c r="B45" s="2">
        <v>83</v>
      </c>
      <c r="C45" s="3">
        <v>92</v>
      </c>
      <c r="Q45">
        <f t="shared" si="10"/>
        <v>41</v>
      </c>
      <c r="R45">
        <f t="shared" si="0"/>
        <v>78</v>
      </c>
      <c r="S45">
        <f t="shared" si="1"/>
        <v>83</v>
      </c>
      <c r="T45">
        <v>81.425284026843542</v>
      </c>
      <c r="U45">
        <f t="shared" si="2"/>
        <v>1.5747159731564579</v>
      </c>
      <c r="V45">
        <v>3.6383041595060533E-2</v>
      </c>
      <c r="W45">
        <f t="shared" si="3"/>
        <v>0.22992612718133398</v>
      </c>
      <c r="X45">
        <f t="shared" si="4"/>
        <v>47.849183514989797</v>
      </c>
      <c r="Y45">
        <f t="shared" si="5"/>
        <v>0.23190640835818371</v>
      </c>
      <c r="Z45">
        <f t="shared" si="6"/>
        <v>0.81759657155069343</v>
      </c>
      <c r="AA45">
        <f t="shared" si="7"/>
        <v>1.0357067028669842E-3</v>
      </c>
      <c r="AB45">
        <f t="shared" si="8"/>
        <v>4.5061955472556439E-2</v>
      </c>
      <c r="AC45" t="str">
        <f t="shared" si="9"/>
        <v/>
      </c>
    </row>
    <row r="46" spans="1:29" x14ac:dyDescent="0.25">
      <c r="A46" s="2">
        <v>45</v>
      </c>
      <c r="B46" s="2">
        <v>84</v>
      </c>
      <c r="C46" s="3">
        <v>94</v>
      </c>
      <c r="Q46">
        <f t="shared" si="10"/>
        <v>42</v>
      </c>
      <c r="R46">
        <f t="shared" si="0"/>
        <v>80</v>
      </c>
      <c r="S46">
        <f t="shared" si="1"/>
        <v>88</v>
      </c>
      <c r="T46">
        <v>83.717798626717581</v>
      </c>
      <c r="U46">
        <f t="shared" si="2"/>
        <v>4.2822013732824189</v>
      </c>
      <c r="V46">
        <v>4.0146737482211883E-2</v>
      </c>
      <c r="W46">
        <f t="shared" si="3"/>
        <v>0.62524924770772694</v>
      </c>
      <c r="X46">
        <f t="shared" si="4"/>
        <v>47.497463008883322</v>
      </c>
      <c r="Y46">
        <f t="shared" si="5"/>
        <v>0.63420470136261353</v>
      </c>
      <c r="Z46">
        <f t="shared" si="6"/>
        <v>0.52895830755965445</v>
      </c>
      <c r="AA46">
        <f t="shared" si="7"/>
        <v>8.5175938499374611E-3</v>
      </c>
      <c r="AB46">
        <f t="shared" si="8"/>
        <v>0.1297036397740835</v>
      </c>
      <c r="AC46" t="str">
        <f t="shared" si="9"/>
        <v/>
      </c>
    </row>
    <row r="47" spans="1:29" x14ac:dyDescent="0.25">
      <c r="A47" s="2">
        <v>46</v>
      </c>
      <c r="B47" s="2">
        <v>84</v>
      </c>
      <c r="C47" s="2">
        <v>93</v>
      </c>
      <c r="Q47">
        <f t="shared" si="10"/>
        <v>43</v>
      </c>
      <c r="R47">
        <f t="shared" si="0"/>
        <v>82</v>
      </c>
      <c r="S47">
        <f t="shared" si="1"/>
        <v>88</v>
      </c>
      <c r="T47">
        <v>86.010313226591592</v>
      </c>
      <c r="U47">
        <f t="shared" si="2"/>
        <v>1.9896867734084083</v>
      </c>
      <c r="V47">
        <v>4.4299244927953216E-2</v>
      </c>
      <c r="W47">
        <f t="shared" si="3"/>
        <v>0.29051650069740298</v>
      </c>
      <c r="X47">
        <f t="shared" si="4"/>
        <v>47.815800540890137</v>
      </c>
      <c r="Y47">
        <f t="shared" si="5"/>
        <v>0.29433237361788839</v>
      </c>
      <c r="Z47">
        <f t="shared" si="6"/>
        <v>0.76977307751395452</v>
      </c>
      <c r="AA47">
        <f t="shared" si="7"/>
        <v>2.0467466050029604E-3</v>
      </c>
      <c r="AB47">
        <f t="shared" si="8"/>
        <v>6.3368763091568261E-2</v>
      </c>
      <c r="AC47" t="str">
        <f t="shared" si="9"/>
        <v/>
      </c>
    </row>
    <row r="48" spans="1:29" x14ac:dyDescent="0.25">
      <c r="A48" s="2">
        <v>47</v>
      </c>
      <c r="B48" s="2">
        <v>87</v>
      </c>
      <c r="C48" s="2">
        <v>88</v>
      </c>
      <c r="Q48">
        <f t="shared" si="10"/>
        <v>44</v>
      </c>
      <c r="R48">
        <f t="shared" si="0"/>
        <v>83</v>
      </c>
      <c r="S48">
        <f t="shared" si="1"/>
        <v>92</v>
      </c>
      <c r="T48">
        <v>87.156570526528611</v>
      </c>
      <c r="U48">
        <f t="shared" si="2"/>
        <v>4.8434294734713887</v>
      </c>
      <c r="V48">
        <v>4.6521302985295124E-2</v>
      </c>
      <c r="W48">
        <f t="shared" si="3"/>
        <v>0.70719482122161581</v>
      </c>
      <c r="X48">
        <f t="shared" si="4"/>
        <v>47.380459389109433</v>
      </c>
      <c r="Y48">
        <f t="shared" si="5"/>
        <v>0.7206059594964056</v>
      </c>
      <c r="Z48">
        <f t="shared" si="6"/>
        <v>0.47464692637291395</v>
      </c>
      <c r="AA48">
        <f t="shared" si="7"/>
        <v>1.2796111897208298E-2</v>
      </c>
      <c r="AB48">
        <f t="shared" si="8"/>
        <v>0.159172591590546</v>
      </c>
      <c r="AC48" t="str">
        <f t="shared" si="9"/>
        <v/>
      </c>
    </row>
    <row r="49" spans="1:29" x14ac:dyDescent="0.25">
      <c r="A49" s="2">
        <v>48</v>
      </c>
      <c r="B49" s="2">
        <v>88</v>
      </c>
      <c r="C49" s="4">
        <v>96</v>
      </c>
      <c r="Q49">
        <f t="shared" si="10"/>
        <v>45</v>
      </c>
      <c r="R49">
        <f t="shared" si="0"/>
        <v>84</v>
      </c>
      <c r="S49">
        <f t="shared" si="1"/>
        <v>94</v>
      </c>
      <c r="T49">
        <v>88.302827826465631</v>
      </c>
      <c r="U49">
        <f t="shared" si="2"/>
        <v>5.6971721735343692</v>
      </c>
      <c r="V49">
        <v>4.8840563932284503E-2</v>
      </c>
      <c r="W49">
        <f t="shared" si="3"/>
        <v>0.83185079473114021</v>
      </c>
      <c r="X49">
        <f t="shared" si="4"/>
        <v>47.177884151455153</v>
      </c>
      <c r="Y49">
        <f t="shared" si="5"/>
        <v>0.85047872535156221</v>
      </c>
      <c r="Z49">
        <f t="shared" si="6"/>
        <v>0.39928161415763586</v>
      </c>
      <c r="AA49">
        <f t="shared" si="7"/>
        <v>1.867819497137365E-2</v>
      </c>
      <c r="AB49">
        <f t="shared" si="8"/>
        <v>0.19272015168105822</v>
      </c>
      <c r="AC49" t="str">
        <f t="shared" si="9"/>
        <v/>
      </c>
    </row>
    <row r="50" spans="1:29" x14ac:dyDescent="0.25">
      <c r="A50" s="2">
        <v>49</v>
      </c>
      <c r="B50" s="2">
        <v>90</v>
      </c>
      <c r="C50" s="4">
        <v>93</v>
      </c>
      <c r="Q50">
        <f t="shared" si="10"/>
        <v>46</v>
      </c>
      <c r="R50">
        <f t="shared" si="0"/>
        <v>84</v>
      </c>
      <c r="S50">
        <f t="shared" si="1"/>
        <v>93</v>
      </c>
      <c r="T50">
        <v>88.302827826465631</v>
      </c>
      <c r="U50">
        <f t="shared" si="2"/>
        <v>4.6971721735343692</v>
      </c>
      <c r="V50">
        <v>4.8840563932284503E-2</v>
      </c>
      <c r="W50">
        <f t="shared" si="3"/>
        <v>0.68583962122379594</v>
      </c>
      <c r="X50">
        <f t="shared" si="4"/>
        <v>47.410396445732445</v>
      </c>
      <c r="Y50">
        <f t="shared" si="5"/>
        <v>0.6994763346374745</v>
      </c>
      <c r="Z50">
        <f t="shared" si="6"/>
        <v>0.48763042343927454</v>
      </c>
      <c r="AA50">
        <f t="shared" si="7"/>
        <v>1.2696650777823667E-2</v>
      </c>
      <c r="AB50">
        <f t="shared" si="8"/>
        <v>0.15850271299017052</v>
      </c>
      <c r="AC50" t="str">
        <f t="shared" si="9"/>
        <v/>
      </c>
    </row>
    <row r="51" spans="1:29" x14ac:dyDescent="0.25">
      <c r="A51" s="2">
        <v>50</v>
      </c>
      <c r="B51" s="2">
        <v>91</v>
      </c>
      <c r="C51" s="2">
        <v>98</v>
      </c>
      <c r="Q51">
        <f t="shared" si="10"/>
        <v>47</v>
      </c>
      <c r="R51">
        <f t="shared" si="0"/>
        <v>87</v>
      </c>
      <c r="S51">
        <f t="shared" si="1"/>
        <v>88</v>
      </c>
      <c r="T51">
        <v>91.741599726276661</v>
      </c>
      <c r="U51">
        <f t="shared" si="2"/>
        <v>-3.7415997262766609</v>
      </c>
      <c r="V51">
        <v>5.6381564111137858E-2</v>
      </c>
      <c r="W51">
        <f t="shared" si="3"/>
        <v>-0.5463153668284132</v>
      </c>
      <c r="X51">
        <f t="shared" si="4"/>
        <v>47.588275192430764</v>
      </c>
      <c r="Y51">
        <f t="shared" si="5"/>
        <v>-0.5583533604771862</v>
      </c>
      <c r="Z51">
        <f t="shared" si="6"/>
        <v>0.57919848751046543</v>
      </c>
      <c r="AA51">
        <f t="shared" si="7"/>
        <v>9.4493323155136859E-3</v>
      </c>
      <c r="AB51">
        <f t="shared" si="8"/>
        <v>-0.13648329083674671</v>
      </c>
      <c r="AC51" t="str">
        <f t="shared" si="9"/>
        <v/>
      </c>
    </row>
    <row r="52" spans="1:29" x14ac:dyDescent="0.25">
      <c r="Q52">
        <f t="shared" si="10"/>
        <v>48</v>
      </c>
      <c r="R52">
        <f t="shared" si="0"/>
        <v>88</v>
      </c>
      <c r="S52">
        <f t="shared" si="1"/>
        <v>96</v>
      </c>
      <c r="T52">
        <v>92.88785702621368</v>
      </c>
      <c r="U52">
        <f t="shared" si="2"/>
        <v>3.1121429737863195</v>
      </c>
      <c r="V52">
        <v>5.9089636616717317E-2</v>
      </c>
      <c r="W52">
        <f t="shared" si="3"/>
        <v>0.45440764772517656</v>
      </c>
      <c r="X52">
        <f t="shared" si="4"/>
        <v>47.684921238750121</v>
      </c>
      <c r="Y52">
        <f t="shared" si="5"/>
        <v>0.46461676833197357</v>
      </c>
      <c r="Z52">
        <f t="shared" si="6"/>
        <v>0.64430661121546828</v>
      </c>
      <c r="AA52">
        <f t="shared" si="7"/>
        <v>6.8909021586528157E-3</v>
      </c>
      <c r="AB52">
        <f t="shared" si="8"/>
        <v>0.11643308733504522</v>
      </c>
      <c r="AC52" t="str">
        <f t="shared" si="9"/>
        <v/>
      </c>
    </row>
    <row r="53" spans="1:29" x14ac:dyDescent="0.25">
      <c r="Q53">
        <f t="shared" si="10"/>
        <v>49</v>
      </c>
      <c r="R53">
        <f t="shared" si="0"/>
        <v>90</v>
      </c>
      <c r="S53">
        <f t="shared" si="1"/>
        <v>93</v>
      </c>
      <c r="T53">
        <v>95.180371626087691</v>
      </c>
      <c r="U53">
        <f t="shared" si="2"/>
        <v>-2.1803716260876911</v>
      </c>
      <c r="V53">
        <v>6.4797390296818691E-2</v>
      </c>
      <c r="W53">
        <f t="shared" si="3"/>
        <v>-0.31835861980718011</v>
      </c>
      <c r="X53">
        <f t="shared" si="4"/>
        <v>47.795778082475216</v>
      </c>
      <c r="Y53">
        <f t="shared" si="5"/>
        <v>-0.32612410385814716</v>
      </c>
      <c r="Z53">
        <f t="shared" si="6"/>
        <v>0.74574809442964085</v>
      </c>
      <c r="AA53">
        <f t="shared" si="7"/>
        <v>3.7544759415402188E-3</v>
      </c>
      <c r="AB53">
        <f t="shared" si="8"/>
        <v>-8.5843773748082192E-2</v>
      </c>
      <c r="AC53" t="str">
        <f t="shared" si="9"/>
        <v/>
      </c>
    </row>
    <row r="54" spans="1:29" x14ac:dyDescent="0.25">
      <c r="Q54" s="28">
        <f t="shared" si="10"/>
        <v>50</v>
      </c>
      <c r="R54" s="28">
        <f t="shared" si="0"/>
        <v>91</v>
      </c>
      <c r="S54" s="28">
        <f t="shared" si="1"/>
        <v>98</v>
      </c>
      <c r="T54" s="28">
        <v>96.326628926024711</v>
      </c>
      <c r="U54" s="28">
        <f t="shared" si="2"/>
        <v>1.6733710739752894</v>
      </c>
      <c r="V54" s="28">
        <v>6.779707147134062E-2</v>
      </c>
      <c r="W54" s="28">
        <f t="shared" si="3"/>
        <v>0.24433087422437694</v>
      </c>
      <c r="X54" s="28">
        <f t="shared" si="4"/>
        <v>47.84002470497834</v>
      </c>
      <c r="Y54" s="28">
        <f t="shared" si="5"/>
        <v>0.25057707095024107</v>
      </c>
      <c r="Z54" s="28">
        <f t="shared" si="6"/>
        <v>0.80321060447733994</v>
      </c>
      <c r="AA54" s="28">
        <f t="shared" si="7"/>
        <v>2.3287169859417503E-3</v>
      </c>
      <c r="AB54" s="28">
        <f t="shared" si="8"/>
        <v>6.7575857327103667E-2</v>
      </c>
      <c r="AC54" t="str">
        <f t="shared" si="9"/>
        <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3C75C-B9E4-478A-AFFE-159D4F0B5A04}">
  <dimension ref="A1:H51"/>
  <sheetViews>
    <sheetView workbookViewId="0">
      <selection activeCell="R21" sqref="R21"/>
    </sheetView>
  </sheetViews>
  <sheetFormatPr defaultRowHeight="15" x14ac:dyDescent="0.25"/>
  <cols>
    <col min="1" max="1" width="11.85546875" bestFit="1" customWidth="1"/>
    <col min="2" max="2" width="14.85546875" bestFit="1" customWidth="1"/>
    <col min="3" max="3" width="15.28515625" bestFit="1" customWidth="1"/>
    <col min="6" max="6" width="9.7109375" bestFit="1" customWidth="1"/>
    <col min="7" max="7" width="14.85546875" bestFit="1" customWidth="1"/>
  </cols>
  <sheetData>
    <row r="1" spans="1:8" x14ac:dyDescent="0.25">
      <c r="A1" s="1" t="s">
        <v>2</v>
      </c>
      <c r="B1" s="5" t="s">
        <v>1</v>
      </c>
      <c r="C1" s="1" t="s">
        <v>0</v>
      </c>
    </row>
    <row r="2" spans="1:8" x14ac:dyDescent="0.25">
      <c r="A2" s="2">
        <v>1</v>
      </c>
      <c r="B2" s="2">
        <v>10</v>
      </c>
      <c r="C2" s="2">
        <v>7</v>
      </c>
    </row>
    <row r="3" spans="1:8" x14ac:dyDescent="0.25">
      <c r="A3" s="2">
        <v>2</v>
      </c>
      <c r="B3" s="2">
        <v>20</v>
      </c>
      <c r="C3" s="3">
        <v>11</v>
      </c>
      <c r="F3" s="1" t="s">
        <v>79</v>
      </c>
      <c r="G3" t="str">
        <f>B1</f>
        <v>Attendance (%)</v>
      </c>
    </row>
    <row r="4" spans="1:8" x14ac:dyDescent="0.25">
      <c r="A4" s="2">
        <v>3</v>
      </c>
      <c r="B4" s="2">
        <v>22</v>
      </c>
      <c r="C4" s="2">
        <v>15</v>
      </c>
      <c r="F4" t="s">
        <v>80</v>
      </c>
      <c r="G4" s="2">
        <v>5</v>
      </c>
      <c r="H4">
        <f>_xlfn.FORECAST.LINEAR(G4,$C$2:$C$51,$B$2:$B$51)</f>
        <v>-2.2514988685583965</v>
      </c>
    </row>
    <row r="5" spans="1:8" x14ac:dyDescent="0.25">
      <c r="A5" s="2">
        <v>4</v>
      </c>
      <c r="B5" s="2">
        <v>27</v>
      </c>
      <c r="C5" s="2">
        <v>29</v>
      </c>
      <c r="F5" t="s">
        <v>81</v>
      </c>
      <c r="G5" s="2">
        <v>55</v>
      </c>
      <c r="H5">
        <f>_xlfn.FORECAST.LINEAR(G5,$C$2:$C$51,$B$2:$B$51)</f>
        <v>55.061366128292256</v>
      </c>
    </row>
    <row r="6" spans="1:8" x14ac:dyDescent="0.25">
      <c r="A6" s="2">
        <v>5</v>
      </c>
      <c r="B6" s="2">
        <v>29</v>
      </c>
      <c r="C6" s="4">
        <v>34</v>
      </c>
      <c r="F6" t="s">
        <v>82</v>
      </c>
      <c r="G6" s="2">
        <v>95</v>
      </c>
      <c r="H6">
        <f>_xlfn.FORECAST.LINEAR(G6,$C$2:$C$51,$B$2:$B$51)</f>
        <v>100.91165812577279</v>
      </c>
    </row>
    <row r="7" spans="1:8" x14ac:dyDescent="0.25">
      <c r="A7" s="2">
        <v>6</v>
      </c>
      <c r="B7" s="2">
        <v>31</v>
      </c>
      <c r="C7" s="2">
        <v>23</v>
      </c>
    </row>
    <row r="8" spans="1:8" x14ac:dyDescent="0.25">
      <c r="A8" s="2">
        <v>7</v>
      </c>
      <c r="B8" s="2">
        <v>33</v>
      </c>
      <c r="C8" s="2">
        <v>39</v>
      </c>
    </row>
    <row r="9" spans="1:8" x14ac:dyDescent="0.25">
      <c r="A9" s="2">
        <v>8</v>
      </c>
      <c r="B9" s="2">
        <v>34</v>
      </c>
      <c r="C9" s="2">
        <v>30</v>
      </c>
    </row>
    <row r="10" spans="1:8" x14ac:dyDescent="0.25">
      <c r="A10" s="2">
        <v>9</v>
      </c>
      <c r="B10" s="2">
        <v>36</v>
      </c>
      <c r="C10" s="4">
        <v>19</v>
      </c>
    </row>
    <row r="11" spans="1:8" x14ac:dyDescent="0.25">
      <c r="A11" s="2">
        <v>10</v>
      </c>
      <c r="B11" s="2">
        <v>39</v>
      </c>
      <c r="C11" s="4">
        <v>36</v>
      </c>
    </row>
    <row r="12" spans="1:8" x14ac:dyDescent="0.25">
      <c r="A12" s="2">
        <v>11</v>
      </c>
      <c r="B12" s="2">
        <v>40</v>
      </c>
      <c r="C12" s="2">
        <v>34</v>
      </c>
    </row>
    <row r="13" spans="1:8" x14ac:dyDescent="0.25">
      <c r="A13" s="2">
        <v>12</v>
      </c>
      <c r="B13" s="2">
        <v>42</v>
      </c>
      <c r="C13" s="2">
        <v>52</v>
      </c>
    </row>
    <row r="14" spans="1:8" x14ac:dyDescent="0.25">
      <c r="A14" s="2">
        <v>13</v>
      </c>
      <c r="B14" s="2">
        <v>45</v>
      </c>
      <c r="C14" s="2">
        <v>53</v>
      </c>
    </row>
    <row r="15" spans="1:8" x14ac:dyDescent="0.25">
      <c r="A15" s="2">
        <v>14</v>
      </c>
      <c r="B15" s="2">
        <v>45</v>
      </c>
      <c r="C15" s="2">
        <v>51</v>
      </c>
    </row>
    <row r="16" spans="1:8" x14ac:dyDescent="0.25">
      <c r="A16" s="2">
        <v>15</v>
      </c>
      <c r="B16" s="2">
        <v>49</v>
      </c>
      <c r="C16" s="4">
        <v>38</v>
      </c>
    </row>
    <row r="17" spans="1:3" x14ac:dyDescent="0.25">
      <c r="A17" s="2">
        <v>16</v>
      </c>
      <c r="B17" s="2">
        <v>50</v>
      </c>
      <c r="C17" s="3">
        <v>41</v>
      </c>
    </row>
    <row r="18" spans="1:3" x14ac:dyDescent="0.25">
      <c r="A18" s="2">
        <v>17</v>
      </c>
      <c r="B18" s="2">
        <v>53</v>
      </c>
      <c r="C18" s="2">
        <v>51</v>
      </c>
    </row>
    <row r="19" spans="1:3" x14ac:dyDescent="0.25">
      <c r="A19" s="2">
        <v>18</v>
      </c>
      <c r="B19" s="2">
        <v>55</v>
      </c>
      <c r="C19" s="2">
        <v>67</v>
      </c>
    </row>
    <row r="20" spans="1:3" x14ac:dyDescent="0.25">
      <c r="A20" s="2">
        <v>19</v>
      </c>
      <c r="B20" s="2">
        <v>56</v>
      </c>
      <c r="C20" s="2">
        <v>59</v>
      </c>
    </row>
    <row r="21" spans="1:3" x14ac:dyDescent="0.25">
      <c r="A21" s="2">
        <v>20</v>
      </c>
      <c r="B21" s="2">
        <v>57</v>
      </c>
      <c r="C21" s="4">
        <v>47</v>
      </c>
    </row>
    <row r="22" spans="1:3" x14ac:dyDescent="0.25">
      <c r="A22" s="2">
        <v>21</v>
      </c>
      <c r="B22" s="2">
        <v>59</v>
      </c>
      <c r="C22" s="2">
        <v>69</v>
      </c>
    </row>
    <row r="23" spans="1:3" x14ac:dyDescent="0.25">
      <c r="A23" s="2">
        <v>22</v>
      </c>
      <c r="B23" s="2">
        <v>60</v>
      </c>
      <c r="C23" s="2">
        <v>58</v>
      </c>
    </row>
    <row r="24" spans="1:3" x14ac:dyDescent="0.25">
      <c r="A24" s="2">
        <v>23</v>
      </c>
      <c r="B24" s="2">
        <v>60</v>
      </c>
      <c r="C24" s="3">
        <v>51</v>
      </c>
    </row>
    <row r="25" spans="1:3" x14ac:dyDescent="0.25">
      <c r="A25" s="2">
        <v>24</v>
      </c>
      <c r="B25" s="2">
        <v>62</v>
      </c>
      <c r="C25" s="2">
        <v>70</v>
      </c>
    </row>
    <row r="26" spans="1:3" x14ac:dyDescent="0.25">
      <c r="A26" s="2">
        <v>25</v>
      </c>
      <c r="B26" s="2">
        <v>63</v>
      </c>
      <c r="C26" s="2">
        <v>63</v>
      </c>
    </row>
    <row r="27" spans="1:3" x14ac:dyDescent="0.25">
      <c r="A27" s="2">
        <v>26</v>
      </c>
      <c r="B27" s="2">
        <v>63</v>
      </c>
      <c r="C27" s="3">
        <v>53</v>
      </c>
    </row>
    <row r="28" spans="1:3" x14ac:dyDescent="0.25">
      <c r="A28" s="2">
        <v>27</v>
      </c>
      <c r="B28" s="2">
        <v>65</v>
      </c>
      <c r="C28" s="2">
        <v>65</v>
      </c>
    </row>
    <row r="29" spans="1:3" x14ac:dyDescent="0.25">
      <c r="A29" s="2">
        <v>28</v>
      </c>
      <c r="B29" s="2">
        <v>65</v>
      </c>
      <c r="C29" s="2">
        <v>67</v>
      </c>
    </row>
    <row r="30" spans="1:3" x14ac:dyDescent="0.25">
      <c r="A30" s="2">
        <v>29</v>
      </c>
      <c r="B30" s="2">
        <v>66</v>
      </c>
      <c r="C30" s="3">
        <v>53</v>
      </c>
    </row>
    <row r="31" spans="1:3" x14ac:dyDescent="0.25">
      <c r="A31" s="2">
        <v>30</v>
      </c>
      <c r="B31" s="2">
        <v>68</v>
      </c>
      <c r="C31" s="4">
        <v>57</v>
      </c>
    </row>
    <row r="32" spans="1:3" x14ac:dyDescent="0.25">
      <c r="A32" s="2">
        <v>31</v>
      </c>
      <c r="B32" s="2">
        <v>69</v>
      </c>
      <c r="C32" s="2">
        <v>77</v>
      </c>
    </row>
    <row r="33" spans="1:3" x14ac:dyDescent="0.25">
      <c r="A33" s="2">
        <v>32</v>
      </c>
      <c r="B33" s="2">
        <v>70</v>
      </c>
      <c r="C33" s="2">
        <v>71</v>
      </c>
    </row>
    <row r="34" spans="1:3" x14ac:dyDescent="0.25">
      <c r="A34" s="2">
        <v>33</v>
      </c>
      <c r="B34" s="2">
        <v>70</v>
      </c>
      <c r="C34" s="2">
        <v>71</v>
      </c>
    </row>
    <row r="35" spans="1:3" x14ac:dyDescent="0.25">
      <c r="A35" s="2">
        <v>34</v>
      </c>
      <c r="B35" s="2">
        <v>72</v>
      </c>
      <c r="C35" s="2">
        <v>73</v>
      </c>
    </row>
    <row r="36" spans="1:3" x14ac:dyDescent="0.25">
      <c r="A36" s="2">
        <v>35</v>
      </c>
      <c r="B36" s="2">
        <v>72</v>
      </c>
      <c r="C36" s="4">
        <v>78</v>
      </c>
    </row>
    <row r="37" spans="1:3" x14ac:dyDescent="0.25">
      <c r="A37" s="2">
        <v>36</v>
      </c>
      <c r="B37" s="2">
        <v>74</v>
      </c>
      <c r="C37" s="4">
        <v>70</v>
      </c>
    </row>
    <row r="38" spans="1:3" x14ac:dyDescent="0.25">
      <c r="A38" s="2">
        <v>37</v>
      </c>
      <c r="B38" s="2">
        <v>75</v>
      </c>
      <c r="C38" s="3">
        <v>76</v>
      </c>
    </row>
    <row r="39" spans="1:3" x14ac:dyDescent="0.25">
      <c r="A39" s="2">
        <v>38</v>
      </c>
      <c r="B39" s="2">
        <v>75</v>
      </c>
      <c r="C39" s="2">
        <v>78</v>
      </c>
    </row>
    <row r="40" spans="1:3" x14ac:dyDescent="0.25">
      <c r="A40" s="2">
        <v>39</v>
      </c>
      <c r="B40" s="2">
        <v>76</v>
      </c>
      <c r="C40" s="2">
        <v>80</v>
      </c>
    </row>
    <row r="41" spans="1:3" x14ac:dyDescent="0.25">
      <c r="A41" s="2">
        <v>40</v>
      </c>
      <c r="B41" s="2">
        <v>78</v>
      </c>
      <c r="C41" s="4">
        <v>90</v>
      </c>
    </row>
    <row r="42" spans="1:3" x14ac:dyDescent="0.25">
      <c r="A42" s="2">
        <v>41</v>
      </c>
      <c r="B42" s="2">
        <v>78</v>
      </c>
      <c r="C42" s="3">
        <v>83</v>
      </c>
    </row>
    <row r="43" spans="1:3" x14ac:dyDescent="0.25">
      <c r="A43" s="2">
        <v>42</v>
      </c>
      <c r="B43" s="2">
        <v>80</v>
      </c>
      <c r="C43" s="2">
        <v>88</v>
      </c>
    </row>
    <row r="44" spans="1:3" x14ac:dyDescent="0.25">
      <c r="A44" s="2">
        <v>43</v>
      </c>
      <c r="B44" s="2">
        <v>82</v>
      </c>
      <c r="C44" s="2">
        <v>88</v>
      </c>
    </row>
    <row r="45" spans="1:3" x14ac:dyDescent="0.25">
      <c r="A45" s="2">
        <v>44</v>
      </c>
      <c r="B45" s="2">
        <v>83</v>
      </c>
      <c r="C45" s="3">
        <v>92</v>
      </c>
    </row>
    <row r="46" spans="1:3" x14ac:dyDescent="0.25">
      <c r="A46" s="2">
        <v>45</v>
      </c>
      <c r="B46" s="2">
        <v>84</v>
      </c>
      <c r="C46" s="3">
        <v>94</v>
      </c>
    </row>
    <row r="47" spans="1:3" x14ac:dyDescent="0.25">
      <c r="A47" s="2">
        <v>46</v>
      </c>
      <c r="B47" s="2">
        <v>84</v>
      </c>
      <c r="C47" s="2">
        <v>93</v>
      </c>
    </row>
    <row r="48" spans="1:3" x14ac:dyDescent="0.25">
      <c r="A48" s="2">
        <v>47</v>
      </c>
      <c r="B48" s="2">
        <v>87</v>
      </c>
      <c r="C48" s="2">
        <v>88</v>
      </c>
    </row>
    <row r="49" spans="1:3" x14ac:dyDescent="0.25">
      <c r="A49" s="2">
        <v>48</v>
      </c>
      <c r="B49" s="2">
        <v>88</v>
      </c>
      <c r="C49" s="4">
        <v>96</v>
      </c>
    </row>
    <row r="50" spans="1:3" x14ac:dyDescent="0.25">
      <c r="A50" s="2">
        <v>49</v>
      </c>
      <c r="B50" s="2">
        <v>90</v>
      </c>
      <c r="C50" s="4">
        <v>93</v>
      </c>
    </row>
    <row r="51" spans="1:3" x14ac:dyDescent="0.25">
      <c r="A51" s="2">
        <v>50</v>
      </c>
      <c r="B51" s="2">
        <v>91</v>
      </c>
      <c r="C51" s="2">
        <v>98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10DD7-6674-43EB-8DB2-7304BBFF491F}">
  <dimension ref="A1:O41"/>
  <sheetViews>
    <sheetView workbookViewId="0">
      <selection activeCell="D33" sqref="D33"/>
    </sheetView>
  </sheetViews>
  <sheetFormatPr defaultRowHeight="15" x14ac:dyDescent="0.25"/>
  <cols>
    <col min="1" max="1" width="10.7109375" bestFit="1" customWidth="1"/>
    <col min="2" max="2" width="15.85546875" bestFit="1" customWidth="1"/>
    <col min="4" max="4" width="24.140625" bestFit="1" customWidth="1"/>
    <col min="5" max="5" width="16.28515625" bestFit="1" customWidth="1"/>
    <col min="6" max="6" width="20" bestFit="1" customWidth="1"/>
    <col min="7" max="7" width="11.28515625" bestFit="1" customWidth="1"/>
  </cols>
  <sheetData>
    <row r="1" spans="1:7" x14ac:dyDescent="0.25">
      <c r="A1" s="5" t="s">
        <v>3</v>
      </c>
      <c r="B1" s="5" t="s">
        <v>4</v>
      </c>
      <c r="D1" s="32" t="s">
        <v>9</v>
      </c>
      <c r="E1" s="32"/>
      <c r="F1" s="32"/>
      <c r="G1" s="32"/>
    </row>
    <row r="2" spans="1:7" x14ac:dyDescent="0.25">
      <c r="A2" s="2" t="s">
        <v>5</v>
      </c>
      <c r="B2" s="2" t="s">
        <v>6</v>
      </c>
      <c r="E2" t="s">
        <v>4</v>
      </c>
      <c r="F2" t="s">
        <v>7</v>
      </c>
      <c r="G2" t="s">
        <v>10</v>
      </c>
    </row>
    <row r="3" spans="1:7" x14ac:dyDescent="0.25">
      <c r="A3" s="2" t="s">
        <v>6</v>
      </c>
      <c r="B3" s="2" t="s">
        <v>5</v>
      </c>
      <c r="D3" t="s">
        <v>8</v>
      </c>
      <c r="E3" s="2">
        <f>GETPIVOTDATA("Contracted Virus",$D$10,"Vaccinated","No","Contracted Virus","Yes")</f>
        <v>6</v>
      </c>
      <c r="F3" s="2">
        <f>GETPIVOTDATA("Contracted Virus",$D$10,"Vaccinated","No","Contracted Virus","No")</f>
        <v>4</v>
      </c>
      <c r="G3">
        <f>E3+F3</f>
        <v>10</v>
      </c>
    </row>
    <row r="4" spans="1:7" x14ac:dyDescent="0.25">
      <c r="A4" s="2" t="s">
        <v>6</v>
      </c>
      <c r="B4" s="2" t="s">
        <v>5</v>
      </c>
      <c r="D4" t="s">
        <v>3</v>
      </c>
      <c r="E4" s="2">
        <f>GETPIVOTDATA("Contracted Virus",$D$10,"Vaccinated","Yes","Contracted Virus","Yes")</f>
        <v>3</v>
      </c>
      <c r="F4" s="2">
        <f>GETPIVOTDATA("Contracted Virus",$D$10,"Vaccinated","Yes","Contracted Virus","No")</f>
        <v>27</v>
      </c>
      <c r="G4">
        <f>E4+F4</f>
        <v>30</v>
      </c>
    </row>
    <row r="5" spans="1:7" ht="15.75" thickBot="1" x14ac:dyDescent="0.3">
      <c r="A5" s="2" t="s">
        <v>5</v>
      </c>
      <c r="B5" s="2" t="s">
        <v>6</v>
      </c>
      <c r="D5" t="s">
        <v>10</v>
      </c>
      <c r="E5" s="6">
        <f>SUM(E3:E4)</f>
        <v>9</v>
      </c>
      <c r="F5" s="6">
        <f t="shared" ref="F5" si="0">SUM(F3:F4)</f>
        <v>31</v>
      </c>
      <c r="G5" s="6">
        <f>SUM(G3:G4)</f>
        <v>40</v>
      </c>
    </row>
    <row r="6" spans="1:7" ht="15.75" thickTop="1" x14ac:dyDescent="0.25">
      <c r="A6" s="2" t="s">
        <v>5</v>
      </c>
      <c r="B6" s="2" t="s">
        <v>6</v>
      </c>
      <c r="E6" s="2"/>
      <c r="F6" s="2"/>
    </row>
    <row r="7" spans="1:7" x14ac:dyDescent="0.25">
      <c r="A7" s="2" t="s">
        <v>5</v>
      </c>
      <c r="B7" s="2" t="s">
        <v>6</v>
      </c>
      <c r="E7" s="24">
        <f>(E3/F3)/(E4/F4)</f>
        <v>13.5</v>
      </c>
    </row>
    <row r="8" spans="1:7" x14ac:dyDescent="0.25">
      <c r="A8" s="2" t="s">
        <v>5</v>
      </c>
      <c r="B8" s="2" t="s">
        <v>6</v>
      </c>
    </row>
    <row r="9" spans="1:7" x14ac:dyDescent="0.25">
      <c r="A9" s="2" t="s">
        <v>6</v>
      </c>
      <c r="B9" s="2" t="s">
        <v>5</v>
      </c>
    </row>
    <row r="10" spans="1:7" x14ac:dyDescent="0.25">
      <c r="A10" s="2" t="s">
        <v>5</v>
      </c>
      <c r="B10" s="2" t="s">
        <v>6</v>
      </c>
      <c r="D10" s="7" t="s">
        <v>14</v>
      </c>
      <c r="E10" s="7" t="s">
        <v>13</v>
      </c>
    </row>
    <row r="11" spans="1:7" x14ac:dyDescent="0.25">
      <c r="A11" s="2" t="s">
        <v>5</v>
      </c>
      <c r="B11" s="2" t="s">
        <v>6</v>
      </c>
      <c r="D11" s="7" t="s">
        <v>11</v>
      </c>
      <c r="E11" t="s">
        <v>6</v>
      </c>
      <c r="F11" t="s">
        <v>5</v>
      </c>
      <c r="G11" t="s">
        <v>12</v>
      </c>
    </row>
    <row r="12" spans="1:7" x14ac:dyDescent="0.25">
      <c r="A12" s="2" t="s">
        <v>5</v>
      </c>
      <c r="B12" s="2" t="s">
        <v>6</v>
      </c>
      <c r="D12" s="8" t="s">
        <v>6</v>
      </c>
      <c r="E12">
        <v>4</v>
      </c>
      <c r="F12">
        <v>6</v>
      </c>
      <c r="G12">
        <v>10</v>
      </c>
    </row>
    <row r="13" spans="1:7" x14ac:dyDescent="0.25">
      <c r="A13" s="2" t="s">
        <v>6</v>
      </c>
      <c r="B13" s="2" t="s">
        <v>5</v>
      </c>
      <c r="D13" s="8" t="s">
        <v>5</v>
      </c>
      <c r="E13">
        <v>27</v>
      </c>
      <c r="F13">
        <v>3</v>
      </c>
      <c r="G13">
        <v>30</v>
      </c>
    </row>
    <row r="14" spans="1:7" x14ac:dyDescent="0.25">
      <c r="A14" s="2" t="s">
        <v>5</v>
      </c>
      <c r="B14" s="2" t="s">
        <v>5</v>
      </c>
      <c r="D14" s="8" t="s">
        <v>12</v>
      </c>
      <c r="E14">
        <v>31</v>
      </c>
      <c r="F14">
        <v>9</v>
      </c>
      <c r="G14">
        <v>40</v>
      </c>
    </row>
    <row r="15" spans="1:7" x14ac:dyDescent="0.25">
      <c r="A15" s="2" t="s">
        <v>5</v>
      </c>
      <c r="B15" s="2" t="s">
        <v>6</v>
      </c>
    </row>
    <row r="16" spans="1:7" x14ac:dyDescent="0.25">
      <c r="A16" s="2" t="s">
        <v>5</v>
      </c>
      <c r="B16" s="2" t="s">
        <v>6</v>
      </c>
    </row>
    <row r="17" spans="1:15" x14ac:dyDescent="0.25">
      <c r="A17" s="2" t="s">
        <v>5</v>
      </c>
      <c r="B17" s="2" t="s">
        <v>6</v>
      </c>
    </row>
    <row r="18" spans="1:15" x14ac:dyDescent="0.25">
      <c r="A18" s="2" t="s">
        <v>5</v>
      </c>
      <c r="B18" s="2" t="s">
        <v>6</v>
      </c>
      <c r="D18" t="s">
        <v>15</v>
      </c>
      <c r="I18" t="s">
        <v>18</v>
      </c>
    </row>
    <row r="19" spans="1:15" x14ac:dyDescent="0.25">
      <c r="A19" s="2" t="s">
        <v>5</v>
      </c>
      <c r="B19" s="2" t="s">
        <v>6</v>
      </c>
    </row>
    <row r="20" spans="1:15" ht="15.75" thickBot="1" x14ac:dyDescent="0.3">
      <c r="A20" s="2" t="s">
        <v>6</v>
      </c>
      <c r="B20" s="2" t="s">
        <v>6</v>
      </c>
      <c r="D20" t="str">
        <f>IF(D2="","",D2)</f>
        <v/>
      </c>
      <c r="E20" t="str">
        <f t="shared" ref="E20:F20" si="1">IF(E2="","",E2)</f>
        <v>Contracted Virus</v>
      </c>
      <c r="F20" t="str">
        <f t="shared" si="1"/>
        <v>Did not contract virus</v>
      </c>
      <c r="G20" t="s">
        <v>10</v>
      </c>
      <c r="I20" t="s">
        <v>19</v>
      </c>
      <c r="K20" t="s">
        <v>20</v>
      </c>
      <c r="L20">
        <v>0.05</v>
      </c>
    </row>
    <row r="21" spans="1:15" ht="15.75" thickTop="1" x14ac:dyDescent="0.25">
      <c r="A21" s="2" t="s">
        <v>5</v>
      </c>
      <c r="B21" s="2" t="s">
        <v>6</v>
      </c>
      <c r="D21" t="str">
        <f t="shared" ref="D21:D22" si="2">IF(D3="","",D3)</f>
        <v>Not Vaccinated</v>
      </c>
      <c r="E21" s="25">
        <f t="array" ref="E21:F22">MMULT(G21:G22,E23:F23)/G23</f>
        <v>2.25</v>
      </c>
      <c r="F21" s="9">
        <v>7.75</v>
      </c>
      <c r="G21">
        <f t="shared" ref="G21:G22" si="3">SUM(E3:F3)</f>
        <v>10</v>
      </c>
      <c r="I21" s="13" t="s">
        <v>21</v>
      </c>
      <c r="J21" s="13" t="s">
        <v>22</v>
      </c>
      <c r="K21" s="13" t="s">
        <v>23</v>
      </c>
      <c r="L21" s="13" t="s">
        <v>24</v>
      </c>
    </row>
    <row r="22" spans="1:15" x14ac:dyDescent="0.25">
      <c r="A22" s="2" t="s">
        <v>6</v>
      </c>
      <c r="B22" s="2" t="s">
        <v>6</v>
      </c>
      <c r="D22" t="str">
        <f t="shared" si="2"/>
        <v>Vaccinated</v>
      </c>
      <c r="E22" s="10">
        <v>6.75</v>
      </c>
      <c r="F22" s="11">
        <v>23.25</v>
      </c>
      <c r="G22">
        <f t="shared" si="3"/>
        <v>30</v>
      </c>
      <c r="I22">
        <f>G23</f>
        <v>40</v>
      </c>
      <c r="J22">
        <f>COUNT(E3:E4)</f>
        <v>2</v>
      </c>
      <c r="K22">
        <f>COUNT(E3:F3)</f>
        <v>2</v>
      </c>
      <c r="L22">
        <f>(J22-1)*(K22-1)</f>
        <v>1</v>
      </c>
    </row>
    <row r="23" spans="1:15" x14ac:dyDescent="0.25">
      <c r="A23" s="2" t="s">
        <v>5</v>
      </c>
      <c r="B23" s="2" t="s">
        <v>6</v>
      </c>
      <c r="D23" t="s">
        <v>10</v>
      </c>
      <c r="E23">
        <f t="shared" ref="E23:F23" si="4">SUM(E3:E4)</f>
        <v>9</v>
      </c>
      <c r="F23">
        <f t="shared" si="4"/>
        <v>31</v>
      </c>
      <c r="G23">
        <f>SUM(G21:G22)</f>
        <v>40</v>
      </c>
    </row>
    <row r="24" spans="1:15" ht="15.75" thickBot="1" x14ac:dyDescent="0.3">
      <c r="A24" s="2" t="s">
        <v>5</v>
      </c>
      <c r="B24" s="2" t="s">
        <v>6</v>
      </c>
      <c r="I24" t="s">
        <v>25</v>
      </c>
    </row>
    <row r="25" spans="1:15" ht="15.75" thickTop="1" x14ac:dyDescent="0.25">
      <c r="A25" s="2" t="s">
        <v>5</v>
      </c>
      <c r="B25" s="2" t="s">
        <v>6</v>
      </c>
      <c r="E25" t="s">
        <v>16</v>
      </c>
      <c r="I25" s="13" t="s">
        <v>26</v>
      </c>
      <c r="J25" s="13" t="s">
        <v>27</v>
      </c>
      <c r="K25" s="13" t="s">
        <v>17</v>
      </c>
      <c r="L25" s="13" t="s">
        <v>28</v>
      </c>
      <c r="M25" s="13" t="s">
        <v>29</v>
      </c>
      <c r="N25" s="13" t="s">
        <v>30</v>
      </c>
      <c r="O25" s="13" t="s">
        <v>31</v>
      </c>
    </row>
    <row r="26" spans="1:15" x14ac:dyDescent="0.25">
      <c r="A26" s="2" t="s">
        <v>6</v>
      </c>
      <c r="B26" s="2" t="s">
        <v>5</v>
      </c>
      <c r="I26" t="s">
        <v>32</v>
      </c>
      <c r="J26" s="24">
        <f>[1]!CHI_STAT2(E3:F4,E21:F22)</f>
        <v>10.752688172043012</v>
      </c>
      <c r="K26" s="24">
        <f>_xlfn.CHISQ.DIST.RT(J26,L22)</f>
        <v>1.0412795910364962E-3</v>
      </c>
      <c r="L26" s="24">
        <f>[1]!CHISQ_INV_RT(L20,L22)</f>
        <v>3.8414588206941236</v>
      </c>
      <c r="M26" s="2" t="str">
        <f>IF(L26&lt;J26,"yes","no")</f>
        <v>yes</v>
      </c>
      <c r="N26" s="24">
        <f>SQRT(J26/(I22*(MIN(J22,K22)-1)))</f>
        <v>0.51847584736521268</v>
      </c>
      <c r="O26" s="24">
        <f>(E3/F3)/(E4/F4)</f>
        <v>13.5</v>
      </c>
    </row>
    <row r="27" spans="1:15" x14ac:dyDescent="0.25">
      <c r="A27" s="2" t="s">
        <v>5</v>
      </c>
      <c r="B27" s="2" t="s">
        <v>6</v>
      </c>
      <c r="E27" t="s">
        <v>17</v>
      </c>
      <c r="F27" s="26">
        <f>[1]!FISHERTEST(E3:F4)</f>
        <v>3.3139398464475862E-3</v>
      </c>
      <c r="I27" t="s">
        <v>33</v>
      </c>
      <c r="J27">
        <f>[1]!CHI_MAX2(E3:F4,E21:F22)</f>
        <v>9.6878955153118689</v>
      </c>
      <c r="K27">
        <f>_xlfn.CHISQ.DIST.RT(J27,L22)</f>
        <v>1.8548585907390528E-3</v>
      </c>
      <c r="L27">
        <f>[1]!CHISQ_INV_RT(L20,L22)</f>
        <v>3.8414588206941236</v>
      </c>
      <c r="M27" s="2" t="str">
        <f>IF(L27&lt;J27,"yes","no")</f>
        <v>yes</v>
      </c>
      <c r="N27">
        <f>SQRT(J27/(I22*(MIN(J22,K22)-1)))</f>
        <v>0.49213553812216887</v>
      </c>
      <c r="O27">
        <f>O26</f>
        <v>13.5</v>
      </c>
    </row>
    <row r="28" spans="1:15" x14ac:dyDescent="0.25">
      <c r="A28" s="2" t="s">
        <v>5</v>
      </c>
      <c r="B28" s="2" t="s">
        <v>6</v>
      </c>
      <c r="I28" s="14"/>
      <c r="J28" s="14"/>
      <c r="K28" s="14"/>
      <c r="L28" s="14"/>
      <c r="M28" s="14"/>
      <c r="N28" s="14"/>
      <c r="O28" s="14"/>
    </row>
    <row r="29" spans="1:15" x14ac:dyDescent="0.25">
      <c r="A29" s="2" t="s">
        <v>5</v>
      </c>
      <c r="B29" s="2" t="s">
        <v>6</v>
      </c>
    </row>
    <row r="30" spans="1:15" x14ac:dyDescent="0.25">
      <c r="A30" s="2" t="s">
        <v>5</v>
      </c>
      <c r="B30" s="2" t="s">
        <v>5</v>
      </c>
    </row>
    <row r="31" spans="1:15" x14ac:dyDescent="0.25">
      <c r="A31" s="2" t="s">
        <v>6</v>
      </c>
      <c r="B31" s="2" t="s">
        <v>5</v>
      </c>
    </row>
    <row r="32" spans="1:15" x14ac:dyDescent="0.25">
      <c r="A32" s="2" t="s">
        <v>5</v>
      </c>
      <c r="B32" s="2" t="s">
        <v>6</v>
      </c>
    </row>
    <row r="33" spans="1:2" x14ac:dyDescent="0.25">
      <c r="A33" s="2" t="s">
        <v>5</v>
      </c>
      <c r="B33" s="2" t="s">
        <v>6</v>
      </c>
    </row>
    <row r="34" spans="1:2" x14ac:dyDescent="0.25">
      <c r="A34" s="2" t="s">
        <v>5</v>
      </c>
      <c r="B34" s="2" t="s">
        <v>6</v>
      </c>
    </row>
    <row r="35" spans="1:2" x14ac:dyDescent="0.25">
      <c r="A35" s="2" t="s">
        <v>6</v>
      </c>
      <c r="B35" s="2" t="s">
        <v>6</v>
      </c>
    </row>
    <row r="36" spans="1:2" x14ac:dyDescent="0.25">
      <c r="A36" s="2" t="s">
        <v>6</v>
      </c>
      <c r="B36" s="2" t="s">
        <v>6</v>
      </c>
    </row>
    <row r="37" spans="1:2" x14ac:dyDescent="0.25">
      <c r="A37" s="2" t="s">
        <v>5</v>
      </c>
      <c r="B37" s="2" t="s">
        <v>6</v>
      </c>
    </row>
    <row r="38" spans="1:2" x14ac:dyDescent="0.25">
      <c r="A38" s="2" t="s">
        <v>5</v>
      </c>
      <c r="B38" s="2" t="s">
        <v>5</v>
      </c>
    </row>
    <row r="39" spans="1:2" x14ac:dyDescent="0.25">
      <c r="A39" s="2" t="s">
        <v>5</v>
      </c>
      <c r="B39" s="2" t="s">
        <v>6</v>
      </c>
    </row>
    <row r="40" spans="1:2" x14ac:dyDescent="0.25">
      <c r="A40" s="2" t="s">
        <v>5</v>
      </c>
      <c r="B40" s="2" t="s">
        <v>6</v>
      </c>
    </row>
    <row r="41" spans="1:2" x14ac:dyDescent="0.25">
      <c r="A41" s="2" t="s">
        <v>5</v>
      </c>
      <c r="B41" s="2" t="s">
        <v>6</v>
      </c>
    </row>
  </sheetData>
  <mergeCells count="1">
    <mergeCell ref="D1:G1"/>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Exam Results</vt:lpstr>
      <vt:lpstr>A</vt:lpstr>
      <vt:lpstr>B</vt:lpstr>
      <vt:lpstr>C</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Cormac O’Keeffe</dc:creator>
  <cp:lastModifiedBy>Ahmed Ezz eldeen</cp:lastModifiedBy>
  <dcterms:created xsi:type="dcterms:W3CDTF">2021-11-03T09:07:34Z</dcterms:created>
  <dcterms:modified xsi:type="dcterms:W3CDTF">2025-01-03T22:36:58Z</dcterms:modified>
</cp:coreProperties>
</file>