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Tecnicatura en Administración - UTN BA - 2do año\Cuatrimestre I\Estadística\TP Grupales\"/>
    </mc:Choice>
  </mc:AlternateContent>
  <xr:revisionPtr revIDLastSave="0" documentId="13_ncr:1_{7E6F30B1-C819-4154-B12E-2936210B18BA}" xr6:coauthVersionLast="47" xr6:coauthVersionMax="47" xr10:uidLastSave="{00000000-0000-0000-0000-000000000000}"/>
  <bookViews>
    <workbookView xWindow="-120" yWindow="-120" windowWidth="20730" windowHeight="11040" tabRatio="560" activeTab="1" xr2:uid="{00000000-000D-0000-FFFF-FFFF00000000}"/>
  </bookViews>
  <sheets>
    <sheet name="Consignas" sheetId="1" r:id="rId1"/>
    <sheet name="Datos" sheetId="2" r:id="rId2"/>
    <sheet name="Tabla Dinámica" sheetId="3" r:id="rId3"/>
  </sheets>
  <definedNames>
    <definedName name="_xlchart.v1.0" hidden="1">Datos!$N$52:$N$56</definedName>
    <definedName name="_xlchart.v1.1" hidden="1">Datos!$O$52:$O$56</definedName>
  </definedNames>
  <calcPr calcId="191029"/>
  <pivotCaches>
    <pivotCache cacheId="0" r:id="rId4"/>
  </pivotCaches>
  <extLst>
    <ext uri="GoogleSheetsCustomDataVersion2">
      <go:sheetsCustomData xmlns:go="http://customooxmlschemas.google.com/" r:id="rId6" roundtripDataChecksum="w3bCXrjBX10V3YbHydZJRw9FraXWWLszdB8habTazM8="/>
    </ext>
  </extLst>
</workbook>
</file>

<file path=xl/calcChain.xml><?xml version="1.0" encoding="utf-8"?>
<calcChain xmlns="http://schemas.openxmlformats.org/spreadsheetml/2006/main">
  <c r="O56" i="2" l="1"/>
  <c r="C60" i="2"/>
  <c r="C59" i="2"/>
  <c r="C58" i="2"/>
  <c r="P48" i="2"/>
  <c r="P47" i="2"/>
  <c r="P46" i="2"/>
  <c r="P45" i="2"/>
  <c r="O55" i="2"/>
  <c r="O54" i="2"/>
  <c r="O53" i="2"/>
  <c r="O52" i="2"/>
  <c r="P44" i="2"/>
  <c r="O39" i="2"/>
  <c r="O40" i="2"/>
  <c r="O37" i="2"/>
  <c r="O36" i="2"/>
  <c r="O35" i="2"/>
  <c r="O31" i="2"/>
  <c r="O30" i="2"/>
  <c r="O29" i="2"/>
  <c r="P22" i="2"/>
  <c r="P24" i="2"/>
  <c r="P25" i="2"/>
  <c r="P23" i="2"/>
  <c r="O25" i="2"/>
  <c r="O24" i="2"/>
  <c r="O23" i="2"/>
  <c r="O22"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FABIAN BERTOTTI</author>
  </authors>
  <commentList>
    <comment ref="H3" authorId="0" shapeId="0" xr:uid="{0E20976E-2CF6-43F4-A825-E392D2B837C9}">
      <text>
        <r>
          <rPr>
            <sz val="9"/>
            <color indexed="81"/>
            <rFont val="Tahoma"/>
            <family val="2"/>
          </rPr>
          <t>Es una cualidad (1, 2, 3...) y, como tiene un orden de jerarquía (categoría 1 es distinta a la 7), es una variable cualitativa ordinal.</t>
        </r>
      </text>
    </comment>
    <comment ref="M3" authorId="0" shapeId="0" xr:uid="{CD7102F0-F847-480D-A27A-3DCD6B9A6379}">
      <text>
        <r>
          <rPr>
            <sz val="9"/>
            <color indexed="81"/>
            <rFont val="Tahoma"/>
            <family val="2"/>
          </rPr>
          <t>El "Sueldo" es una característica que se mide con números y, al tener la posibilidad de tener centavos, es continua.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FABIAN BERTOTTI</author>
  </authors>
  <commentList>
    <comment ref="P29" authorId="0" shapeId="0" xr:uid="{5123C233-AFF1-4CBB-AA2E-EAEAA1F63FED}">
      <text>
        <r>
          <rPr>
            <sz val="9"/>
            <color indexed="81"/>
            <rFont val="Tahoma"/>
            <family val="2"/>
          </rPr>
          <t>El sueldo promedio no refleja tanto la realizad de la empresa ya que se encuentra un poco inflado por los números más altos. Esto se ve reflejado en la mediana y moda calculadas posteriormente donde claramente se ve como la mayoría de los empleados gana menos de 300.000 pesos.</t>
        </r>
      </text>
    </comment>
    <comment ref="P30" authorId="0" shapeId="0" xr:uid="{8FC583BC-32D2-4F26-8907-49F35E5CAA01}">
      <text>
        <r>
          <rPr>
            <sz val="9"/>
            <color indexed="81"/>
            <rFont val="Tahoma"/>
            <family val="2"/>
          </rPr>
          <t>Nos indica que la mitad de los empleados gana una cifra símil a este monto, acercándose a la realidad, a diferencia del promedio; la diferencia con este último ya se hace notable.</t>
        </r>
      </text>
    </comment>
    <comment ref="P31" authorId="0" shapeId="0" xr:uid="{DA54B92A-E4CC-40B5-BD18-5EF804C1B010}">
      <text>
        <r>
          <rPr>
            <sz val="9"/>
            <color indexed="81"/>
            <rFont val="Tahoma"/>
            <family val="2"/>
          </rPr>
          <t>El sueldo más frecuente en la empresa suele rondar los 277.00 pesos, mucho más cerca de la mediana y un poco más lejos del promedio, confirmando lo dicho en la interpretación 1.</t>
        </r>
      </text>
    </comment>
    <comment ref="P35" authorId="0" shapeId="0" xr:uid="{0E8A6C9E-0471-4A62-84F5-62B75D8206D6}">
      <text>
        <r>
          <rPr>
            <sz val="9"/>
            <color indexed="81"/>
            <rFont val="Tahoma"/>
            <family val="2"/>
          </rPr>
          <t>Este valor no es muy útil para la interpretación directa, ya que está en unidades al cuadrado (pesos al cuadrado). Es un número enorme y solo sirve como un valor intermedio para el cálculo de la desviación estándar.</t>
        </r>
      </text>
    </comment>
    <comment ref="P36" authorId="0" shapeId="0" xr:uid="{627A5632-33F6-4D93-BD4D-3DF5065A0D16}">
      <text>
        <r>
          <rPr>
            <sz val="9"/>
            <color indexed="81"/>
            <rFont val="Tahoma"/>
            <family val="2"/>
          </rPr>
          <t>La desviación estándar es la medida más útil porque dice que, en promedio, el sueldo neto de los empleados se desvía $46.307,84 de la media. En otras palabras, la mayoría de los sueldos se encuentra en un rango de más o menos $46.307,84 alrededor del promedio.</t>
        </r>
      </text>
    </comment>
    <comment ref="P37" authorId="0" shapeId="0" xr:uid="{D0D2EAEE-7209-46DD-B160-E6C349A2E67B}">
      <text>
        <r>
          <rPr>
            <sz val="9"/>
            <color indexed="81"/>
            <rFont val="Tahoma"/>
            <family val="2"/>
          </rPr>
          <t>El coeficiente de variación es menor al 20%, lo que indica que los sueldos en la empresa son bastante homogéneos. Esto significa que los sueldos están bastante agrupados y que el sueldo promedio es un valor bastante representativo del sueldo de la mayoría de los empleados. A diferencia de lo que pensaba, no hay una dispersión muy marcada.</t>
        </r>
      </text>
    </comment>
    <comment ref="O39" authorId="0" shapeId="0" xr:uid="{7A5BD071-3562-4A7C-83B0-8C062D25C1AD}">
      <text>
        <r>
          <rPr>
            <sz val="9"/>
            <color indexed="81"/>
            <rFont val="Tahoma"/>
            <family val="2"/>
          </rPr>
          <t>Indica el sueldo por debajo del cual se encuentra el 30% de los empleados que menos ganan.
La fórmula ordena todos los sueldos de menor a mayor y luego arroja el valor que está en la posición que representa el 30% de los datos.</t>
        </r>
      </text>
    </comment>
    <comment ref="O40" authorId="0" shapeId="0" xr:uid="{AE753055-A2B7-49A4-90CD-43BD05AC34D3}">
      <text>
        <r>
          <rPr>
            <sz val="9"/>
            <color indexed="81"/>
            <rFont val="Tahoma"/>
            <family val="2"/>
          </rPr>
          <t>Para encontrar el 20% de los sueldos más altos, se busca el percentil 80 porque este valor marca el límite salarial que deja por debajo al 80% de los sueldos y por encima al 20% más alto.
El sueldo que ocupa la posición equivalente al 80% es el 20% de los que más ganan por qué está debajo del 100% por 20 puntos. Si hubiera puesto el 0.2 en la fórmula, me mostraría el sueldo que está en la posición equivalente al 20%.</t>
        </r>
      </text>
    </comment>
  </commentList>
</comments>
</file>

<file path=xl/sharedStrings.xml><?xml version="1.0" encoding="utf-8"?>
<sst xmlns="http://schemas.openxmlformats.org/spreadsheetml/2006/main" count="208" uniqueCount="140">
  <si>
    <t>Consignas:</t>
  </si>
  <si>
    <r>
      <rPr>
        <sz val="11"/>
        <color theme="1"/>
        <rFont val="Aptos Narrow"/>
      </rPr>
      <t xml:space="preserve">Indicar una </t>
    </r>
    <r>
      <rPr>
        <b/>
        <sz val="11"/>
        <color rgb="FF000000"/>
        <rFont val="Calibri"/>
      </rPr>
      <t>variable cuantituativa y una variable cualitativa</t>
    </r>
    <r>
      <rPr>
        <sz val="11"/>
        <color theme="1"/>
        <rFont val="Aptos Narrow"/>
      </rPr>
      <t>.</t>
    </r>
  </si>
  <si>
    <r>
      <rPr>
        <b/>
        <sz val="11"/>
        <color rgb="FF000000"/>
        <rFont val="Calibri"/>
      </rPr>
      <t>Clasificar</t>
    </r>
    <r>
      <rPr>
        <sz val="11"/>
        <color theme="1"/>
        <rFont val="Aptos Narrow"/>
      </rPr>
      <t xml:space="preserve"> cada una de las variables.</t>
    </r>
  </si>
  <si>
    <r>
      <rPr>
        <sz val="11"/>
        <color theme="1"/>
        <rFont val="Aptos Narrow"/>
      </rPr>
      <t xml:space="preserve">Hallar el </t>
    </r>
    <r>
      <rPr>
        <b/>
        <sz val="11"/>
        <color rgb="FF000000"/>
        <rFont val="Calibri"/>
      </rPr>
      <t>sueldo básico</t>
    </r>
    <r>
      <rPr>
        <sz val="11"/>
        <color theme="1"/>
        <rFont val="Aptos Narrow"/>
      </rPr>
      <t>, teniendo en cuenta las categorías, según la tabla 1.</t>
    </r>
  </si>
  <si>
    <r>
      <rPr>
        <sz val="11"/>
        <color theme="1"/>
        <rFont val="Aptos Narrow"/>
      </rPr>
      <t xml:space="preserve">Completar la columna </t>
    </r>
    <r>
      <rPr>
        <b/>
        <sz val="11"/>
        <color rgb="FF000000"/>
        <rFont val="Calibri"/>
      </rPr>
      <t>plus</t>
    </r>
    <r>
      <rPr>
        <sz val="11"/>
        <color theme="1"/>
        <rFont val="Aptos Narrow"/>
      </rPr>
      <t xml:space="preserve">, sobre el sueldo básico, teniendo en cuenta el turno de trabajo, según los expresado en la tabla 2. </t>
    </r>
  </si>
  <si>
    <r>
      <rPr>
        <sz val="11"/>
        <color theme="1"/>
        <rFont val="Aptos Narrow"/>
      </rPr>
      <t>Completar la columna</t>
    </r>
    <r>
      <rPr>
        <b/>
        <sz val="11"/>
        <color rgb="FF000000"/>
        <rFont val="Calibri"/>
      </rPr>
      <t xml:space="preserve"> sueldo Bruto</t>
    </r>
    <r>
      <rPr>
        <sz val="11"/>
        <color theme="1"/>
        <rFont val="Aptos Narrow"/>
      </rPr>
      <t>, como la suma del sueldo básico más el plus.</t>
    </r>
  </si>
  <si>
    <r>
      <rPr>
        <sz val="11"/>
        <color theme="1"/>
        <rFont val="Aptos Narrow"/>
      </rPr>
      <t xml:space="preserve">Calcular las columnas de </t>
    </r>
    <r>
      <rPr>
        <b/>
        <sz val="11"/>
        <color rgb="FF000000"/>
        <rFont val="Calibri"/>
      </rPr>
      <t>Jubilación, Obra Social y Sindicato</t>
    </r>
    <r>
      <rPr>
        <sz val="11"/>
        <color theme="1"/>
        <rFont val="Aptos Narrow"/>
      </rPr>
      <t>, teniendo en cuenta los datos de la tabla 3.  Unar congelar los porcentajes sobre el sueldo básico.</t>
    </r>
  </si>
  <si>
    <r>
      <rPr>
        <sz val="11"/>
        <color theme="1"/>
        <rFont val="Aptos Narrow"/>
      </rPr>
      <t xml:space="preserve">Completar la columna </t>
    </r>
    <r>
      <rPr>
        <b/>
        <sz val="11"/>
        <color rgb="FF000000"/>
        <rFont val="Calibri"/>
      </rPr>
      <t>total de retenciones</t>
    </r>
    <r>
      <rPr>
        <sz val="11"/>
        <color theme="1"/>
        <rFont val="Aptos Narrow"/>
      </rPr>
      <t>, como la suma de los importes retenidos para la jubilación, el sindicato y la obra social.</t>
    </r>
  </si>
  <si>
    <r>
      <rPr>
        <sz val="11"/>
        <color theme="1"/>
        <rFont val="Aptos Narrow"/>
      </rPr>
      <t xml:space="preserve">Calcular el </t>
    </r>
    <r>
      <rPr>
        <b/>
        <sz val="11"/>
        <color rgb="FF000000"/>
        <rFont val="Calibri"/>
      </rPr>
      <t>sueldo neto</t>
    </r>
    <r>
      <rPr>
        <sz val="11"/>
        <color theme="1"/>
        <rFont val="Aptos Narrow"/>
      </rPr>
      <t>, como la diferencia del sueldo neto menos el total de retenciones.</t>
    </r>
  </si>
  <si>
    <t>Hallar el total de empleados de la empresa.</t>
  </si>
  <si>
    <t>Hallar la cantidad de empleados que trabajan en cada turno.</t>
  </si>
  <si>
    <t>Indicar  que turno tiene mayor porcentaje de empleados, y cual es dicho porcentaje. (Podés ayudarte completando la tabla 4).</t>
  </si>
  <si>
    <r>
      <rPr>
        <sz val="11"/>
        <color theme="1"/>
        <rFont val="Aptos Narrow"/>
      </rPr>
      <t xml:space="preserve">Diseñar una </t>
    </r>
    <r>
      <rPr>
        <b/>
        <sz val="11"/>
        <color rgb="FF000000"/>
        <rFont val="Calibri"/>
      </rPr>
      <t>tabla dinámica</t>
    </r>
    <r>
      <rPr>
        <sz val="11"/>
        <color theme="1"/>
        <rFont val="Aptos Narrow"/>
      </rPr>
      <t xml:space="preserve"> que muestre, categorías, turnos y sueldo neto.</t>
    </r>
  </si>
  <si>
    <r>
      <rPr>
        <sz val="11"/>
        <color theme="1"/>
        <rFont val="Aptos Narrow"/>
      </rPr>
      <t xml:space="preserve">Insertar un </t>
    </r>
    <r>
      <rPr>
        <b/>
        <sz val="11"/>
        <color rgb="FF000000"/>
        <rFont val="Calibri"/>
      </rPr>
      <t>gráfico de barras</t>
    </r>
    <r>
      <rPr>
        <sz val="11"/>
        <color theme="1"/>
        <rFont val="Aptos Narrow"/>
      </rPr>
      <t>, que muetre los datos de la tabla dinámica.</t>
    </r>
  </si>
  <si>
    <t>Observando el gráfico del punto anterior, que puede inferir respecto de la categoría 4 y de la categoría 5?</t>
  </si>
  <si>
    <r>
      <rPr>
        <sz val="11"/>
        <color theme="1"/>
        <rFont val="Aptos Narrow"/>
      </rPr>
      <t xml:space="preserve">Teniendo en cuenta los sueldos netos, hallar las </t>
    </r>
    <r>
      <rPr>
        <b/>
        <sz val="11"/>
        <color rgb="FF000000"/>
        <rFont val="Calibri"/>
      </rPr>
      <t>medidas de posición central</t>
    </r>
    <r>
      <rPr>
        <sz val="11"/>
        <color theme="1"/>
        <rFont val="Aptos Narrow"/>
      </rPr>
      <t>.  Completar la tabla 5. Interpretarlas.</t>
    </r>
  </si>
  <si>
    <r>
      <rPr>
        <sz val="11"/>
        <color theme="1"/>
        <rFont val="Aptos Narrow"/>
      </rPr>
      <t xml:space="preserve">Teniendo en cuenta los sueldos netos, hallar las </t>
    </r>
    <r>
      <rPr>
        <b/>
        <sz val="11"/>
        <color rgb="FF000000"/>
        <rFont val="Calibri"/>
      </rPr>
      <t>medidas de dispersión</t>
    </r>
    <r>
      <rPr>
        <sz val="11"/>
        <color theme="1"/>
        <rFont val="Aptos Narrow"/>
      </rPr>
      <t>.  Completar la tabla 6. Interpretarlas.</t>
    </r>
  </si>
  <si>
    <t>Calcular el 30% de los sueldos más bajos.</t>
  </si>
  <si>
    <t>Calcular el 20% de los sueldos más altos.</t>
  </si>
  <si>
    <r>
      <rPr>
        <sz val="11"/>
        <color theme="1"/>
        <rFont val="Aptos Narrow"/>
      </rPr>
      <t xml:space="preserve">Completar la </t>
    </r>
    <r>
      <rPr>
        <b/>
        <sz val="11"/>
        <color rgb="FF000000"/>
        <rFont val="Calibri"/>
      </rPr>
      <t>tabla de frecuencia.</t>
    </r>
  </si>
  <si>
    <r>
      <rPr>
        <sz val="11"/>
        <color theme="1"/>
        <rFont val="Aptos Narrow"/>
      </rPr>
      <t xml:space="preserve">Hacer un </t>
    </r>
    <r>
      <rPr>
        <b/>
        <sz val="11"/>
        <color rgb="FF000000"/>
        <rFont val="Calibri"/>
      </rPr>
      <t>histograma</t>
    </r>
    <r>
      <rPr>
        <sz val="11"/>
        <color theme="1"/>
        <rFont val="Aptos Narrow"/>
      </rPr>
      <t xml:space="preserve"> y el</t>
    </r>
    <r>
      <rPr>
        <b/>
        <sz val="11"/>
        <color rgb="FF000000"/>
        <rFont val="Calibri"/>
      </rPr>
      <t xml:space="preserve"> polígono de frecuencia</t>
    </r>
    <r>
      <rPr>
        <sz val="11"/>
        <color theme="1"/>
        <rFont val="Aptos Narrow"/>
      </rPr>
      <t>.</t>
    </r>
  </si>
  <si>
    <t>Indicar en que rango de dinero, perciben suldos netos, la mayor cantidad de empleados de la empresa.</t>
  </si>
  <si>
    <t>Interpretar la situación de esta empresa.</t>
  </si>
  <si>
    <t>Archivo  de personal</t>
  </si>
  <si>
    <t>DNI</t>
  </si>
  <si>
    <t>Apellido y Nombre</t>
  </si>
  <si>
    <t>Turno</t>
  </si>
  <si>
    <t>Categoría</t>
  </si>
  <si>
    <t>Sueldos</t>
  </si>
  <si>
    <t>Plus</t>
  </si>
  <si>
    <t>Sueldo básico</t>
  </si>
  <si>
    <t>Jubilación</t>
  </si>
  <si>
    <t>Obra social</t>
  </si>
  <si>
    <t>Sindicato</t>
  </si>
  <si>
    <t>Total de retenciones</t>
  </si>
  <si>
    <t>Sueldo Neto</t>
  </si>
  <si>
    <t>Tabla 1</t>
  </si>
  <si>
    <t>PEDRO KARINA ELIZABETH</t>
  </si>
  <si>
    <t>M</t>
  </si>
  <si>
    <t>Categorías</t>
  </si>
  <si>
    <t>SORIANELLO MARINA GABRIELA</t>
  </si>
  <si>
    <t>DIAZ ADRIANA NANCY</t>
  </si>
  <si>
    <t>N</t>
  </si>
  <si>
    <t>LOGAMBINO LORENA GABRIELA</t>
  </si>
  <si>
    <t xml:space="preserve">BOURQUIN MARIA BEATRIZ  </t>
  </si>
  <si>
    <t>CURCI GABRIELA ALEJANDRA</t>
  </si>
  <si>
    <t>SERIAL LUZ POMPEYA</t>
  </si>
  <si>
    <t xml:space="preserve">FERNANDEZ  Y CARBALLO MARIA </t>
  </si>
  <si>
    <t>T</t>
  </si>
  <si>
    <t>COSTA HERNAN LUIS</t>
  </si>
  <si>
    <t>ESCALANTE GISPER MARCELO M.</t>
  </si>
  <si>
    <t>Tabla 2</t>
  </si>
  <si>
    <t>GONZALEZ VANESA CAROLINA</t>
  </si>
  <si>
    <t>MENOTTI CECILIA</t>
  </si>
  <si>
    <t>VERACIERTO TAMARA NIEVES</t>
  </si>
  <si>
    <t>ALFERII CLAUDIO MARCELO</t>
  </si>
  <si>
    <t>Tabla 3</t>
  </si>
  <si>
    <t>ATENCIO ADRIANA</t>
  </si>
  <si>
    <t>Jubliación</t>
  </si>
  <si>
    <t>FARIAS SEBASTIAN</t>
  </si>
  <si>
    <t>GONZALEZ ANDREA VERONICA</t>
  </si>
  <si>
    <t>DUBS CLAUDIA ALEJANDRA</t>
  </si>
  <si>
    <t>Tabla 4</t>
  </si>
  <si>
    <t>Totales</t>
  </si>
  <si>
    <t>Porcentaje</t>
  </si>
  <si>
    <t xml:space="preserve">GOMEZ BARRENA MIRIAM SABRINA </t>
  </si>
  <si>
    <t>Total empl.</t>
  </si>
  <si>
    <t>GUILLEN PAULA</t>
  </si>
  <si>
    <t>Emp. T/M</t>
  </si>
  <si>
    <t>MALARA ANDRES DANIEL</t>
  </si>
  <si>
    <t>Emp. T/T</t>
  </si>
  <si>
    <t>MARTI GABRIELA ANALIA</t>
  </si>
  <si>
    <t>Emp. T/N</t>
  </si>
  <si>
    <t>MENDIGUREN MARTIN IGNACIO</t>
  </si>
  <si>
    <t>MENENDEZ CARLOS ALBERTO</t>
  </si>
  <si>
    <t>Tabla 5</t>
  </si>
  <si>
    <t>MORELATO ARIEL JORGE</t>
  </si>
  <si>
    <t>Medidas de Posición:</t>
  </si>
  <si>
    <t>Interpretación</t>
  </si>
  <si>
    <t>NETO ORNELA NOELIA</t>
  </si>
  <si>
    <t>Promedio</t>
  </si>
  <si>
    <t>OLIVERA LEANDRO JORGE ARIEL</t>
  </si>
  <si>
    <t>Mediana</t>
  </si>
  <si>
    <t>PEDINI MARIANO OSCAR</t>
  </si>
  <si>
    <t>Moda</t>
  </si>
  <si>
    <t xml:space="preserve">ROSSI LUCIANO PABLO </t>
  </si>
  <si>
    <t xml:space="preserve">RUSSOLO JAVIER ALEJANDRO </t>
  </si>
  <si>
    <t>Tabla 6</t>
  </si>
  <si>
    <t>SASSONE VANESA ANALIA</t>
  </si>
  <si>
    <t>Medidas de Dispersión:</t>
  </si>
  <si>
    <t>VAZQUEZ RUBEN JAVIER</t>
  </si>
  <si>
    <t>Varianza</t>
  </si>
  <si>
    <t>BACELLI MARIANO DANIEL</t>
  </si>
  <si>
    <t>Desv. Est.</t>
  </si>
  <si>
    <t>CACERES MARTINEZ SILVINA</t>
  </si>
  <si>
    <t>Coef. De var.</t>
  </si>
  <si>
    <t>FENOMENO ALEJANDRA</t>
  </si>
  <si>
    <t>GONZALEZ JUAN IGNACIO</t>
  </si>
  <si>
    <t>30% sdos + bajos</t>
  </si>
  <si>
    <t>IRIARTE ANALIA CECILIA</t>
  </si>
  <si>
    <t>20% sdos +altos</t>
  </si>
  <si>
    <t>LEZCANO GONZALEZ GABRIELA</t>
  </si>
  <si>
    <t xml:space="preserve">MIRANDA ANDREA VERONICA </t>
  </si>
  <si>
    <t>PELLINI MONICA NOEMI</t>
  </si>
  <si>
    <t>Frecuencia</t>
  </si>
  <si>
    <t>SARTIRANA DANIELA BELEN</t>
  </si>
  <si>
    <t xml:space="preserve">Hasta </t>
  </si>
  <si>
    <t>CEDRON JOSE LUIS</t>
  </si>
  <si>
    <t>de TORRES CURTH ALEJANDRO A.</t>
  </si>
  <si>
    <t>DURSI EDUARDO HERNAN</t>
  </si>
  <si>
    <t>NAVARRO MIGUEL ANGEL</t>
  </si>
  <si>
    <t>Más de</t>
  </si>
  <si>
    <t>RODRIGUEZ ALDO DAVID</t>
  </si>
  <si>
    <t>VEDANI STANCO NATALIA YANINA</t>
  </si>
  <si>
    <t xml:space="preserve">20. </t>
  </si>
  <si>
    <t>FERNANDEZ VIDAL MALQUI</t>
  </si>
  <si>
    <t>Histograma y Polígono de Frecuencia</t>
  </si>
  <si>
    <t>TEDESCO MIRTA MABEL</t>
  </si>
  <si>
    <r>
      <rPr>
        <sz val="11"/>
        <color theme="1"/>
        <rFont val="Aptos Narrow"/>
      </rPr>
      <t>(0; 100000</t>
    </r>
    <r>
      <rPr>
        <sz val="11"/>
        <color rgb="FF000000"/>
        <rFont val="Calibri"/>
      </rPr>
      <t>]</t>
    </r>
  </si>
  <si>
    <t>LUNGARETTE EDUARDO JAVIER</t>
  </si>
  <si>
    <t>(100000; 200000]</t>
  </si>
  <si>
    <t xml:space="preserve">RUCKER ALICIA CRISTINA </t>
  </si>
  <si>
    <t>(200000; 300000]</t>
  </si>
  <si>
    <t>GOMEZ SANDRA MARCELA</t>
  </si>
  <si>
    <t>(300000; 400000]</t>
  </si>
  <si>
    <t>BARBERIS PABLO MIGUEL</t>
  </si>
  <si>
    <t>(400000; 500000]</t>
  </si>
  <si>
    <t>Variable cualitativa ordinal = Categorías</t>
  </si>
  <si>
    <t>Variable cuantitativa continua = Sueldos</t>
  </si>
  <si>
    <t>Consigna Hecha:</t>
  </si>
  <si>
    <t>Consiga por hacer:</t>
  </si>
  <si>
    <t>Total general</t>
  </si>
  <si>
    <t>Suma de Sueldo Neto</t>
  </si>
  <si>
    <t>Turnos</t>
  </si>
  <si>
    <t>Se puede inferir , marcando una obviedad, que la mayoría de los empleados trabajan en la categoría 4 y por lo tanto el turno mañana. La categoría 5 es la segunda más poblada abarcando los tres turnos pero con una mayor cantidad de empleados en el turno mañana, le sigue el turno noche y por último el turno tarde; esto último tiene lógica ya que posiblemente los empleados del turno noche le dejen la continuación de las tareas a los del turno mañana. Los empleados del turno tarde posiblemente sean un puente para controlar que los procesos se ejecuten correctamente pero las riendas son tomadas por los empleados del turno noche y mayormente mañana.</t>
  </si>
  <si>
    <t>Interpretación 1</t>
  </si>
  <si>
    <t>Interpretación 2</t>
  </si>
  <si>
    <t>Interpretación 3</t>
  </si>
  <si>
    <t xml:space="preserve"> El rango con la mayor cantidad de empleados es de $200.000 a $300.000, porque es el que tiene la mayor frecuencia (34 empleados).</t>
  </si>
  <si>
    <t>La tabla dinámica revela que la empresa concentra la mayor parte del trabajo por la mañana, utiliza el turno tarde como puente para consolidar procesos y deja el camino listo para los empleados del turno noche.
Al analizar los promedios salariales netos de cada turno como una referencia aproximada, encontramos una distribución que apoya esta dinámica:
Promedio del Turno Mañana: $290.529,00
Promedio del Turno Tarde: $289.000,00
Promedio del Turno Noche: $341.238,00
Los trabajadores del turno noche perciben, en promedio, salarios más altos que los del turno mañana. Esto podría indicar que, si bien es posible que el turno mañana se componga mayormente de roles administrativos, el turno noche y el turno tarde estén asignados a tareas operativas y de mantenimiento que demandan una mayor compensación económica.
Otra conclusión es que la carga de trabajo está un poco desproporcional ya que podría haber un embudo por las noches que desembarca en posibles problemas por la mañana y que se encarguen de corroborar que todo esté en condiciones los del turno tarde.
Si esto fuera así, la empresa debería considerar si este mecanismo de trabajo es eficiente o si podría generar un alto riesgo de errores o problemas a mediano y largo plazo.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</si>
</sst>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quot;$&quot;\ * #,##0.00_ ;_ &quot;$&quot;\ * \-#,##0.00_ ;_ &quot;$&quot;\ * &quot;-&quot;??_ ;_ @_ "/>
    <numFmt numFmtId="165" formatCode="_-[$$-2C0A]\ * #,##0.00_-;\-[$$-2C0A]\ * #,##0.00_-;_-[$$-2C0A]\ * &quot;-&quot;??_-;_-@"/>
    <numFmt numFmtId="166" formatCode="_-* #,##0.00\ _€_-;\-* #,##0.00\ _€_-;_-* &quot;-&quot;??\ _€_-;_-@_-"/>
    <numFmt numFmtId="167" formatCode="[$$-409]#,##0.00"/>
  </numFmts>
  <fonts count="14" x14ac:knownFonts="1">
    <font>
      <sz val="11"/>
      <color theme="1"/>
      <name val="Aptos Narrow"/>
      <scheme val="minor"/>
    </font>
    <font>
      <b/>
      <u/>
      <sz val="11"/>
      <color theme="1"/>
      <name val="Aptos Narrow"/>
    </font>
    <font>
      <b/>
      <sz val="11"/>
      <color theme="1"/>
      <name val="Aptos Narrow"/>
    </font>
    <font>
      <sz val="11"/>
      <color theme="1"/>
      <name val="Aptos Narrow"/>
      <scheme val="minor"/>
    </font>
    <font>
      <b/>
      <u/>
      <sz val="12"/>
      <color theme="1"/>
      <name val="Arial"/>
    </font>
    <font>
      <sz val="11"/>
      <color theme="1"/>
      <name val="Aptos Narrow"/>
    </font>
    <font>
      <sz val="11"/>
      <name val="Aptos Narrow"/>
    </font>
    <font>
      <b/>
      <sz val="11"/>
      <color rgb="FF000000"/>
      <name val="Calibri"/>
    </font>
    <font>
      <sz val="11"/>
      <color rgb="FF000000"/>
      <name val="Calibri"/>
    </font>
    <font>
      <sz val="11"/>
      <color theme="1"/>
      <name val="Aptos Narrow"/>
      <family val="2"/>
    </font>
    <font>
      <b/>
      <sz val="11"/>
      <color theme="1"/>
      <name val="Aptos Narrow"/>
      <family val="2"/>
      <scheme val="minor"/>
    </font>
    <font>
      <sz val="11"/>
      <color theme="1"/>
      <name val="Aptos Narrow"/>
      <family val="2"/>
      <scheme val="minor"/>
    </font>
    <font>
      <sz val="9"/>
      <color indexed="81"/>
      <name val="Tahoma"/>
      <family val="2"/>
    </font>
    <font>
      <b/>
      <sz val="11"/>
      <color theme="1"/>
      <name val="Aptos Narrow"/>
      <family val="2"/>
    </font>
  </fonts>
  <fills count="7">
    <fill>
      <patternFill patternType="none"/>
    </fill>
    <fill>
      <patternFill patternType="gray125"/>
    </fill>
    <fill>
      <patternFill patternType="solid">
        <fgColor rgb="FF95DCF7"/>
        <bgColor rgb="FF95DCF7"/>
      </patternFill>
    </fill>
    <fill>
      <patternFill patternType="solid">
        <fgColor rgb="FFFFFF00"/>
        <bgColor rgb="FFFFFF00"/>
      </patternFill>
    </fill>
    <fill>
      <patternFill patternType="solid">
        <fgColor rgb="FFFFFF00"/>
        <bgColor indexed="64"/>
      </patternFill>
    </fill>
    <fill>
      <patternFill patternType="solid">
        <fgColor theme="9"/>
        <bgColor indexed="64"/>
      </patternFill>
    </fill>
    <fill>
      <patternFill patternType="solid">
        <fgColor rgb="FFDC393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2">
    <xf numFmtId="0" fontId="0" fillId="0" borderId="0"/>
    <xf numFmtId="43" fontId="3" fillId="0" borderId="0" applyFont="0" applyFill="0" applyBorder="0" applyAlignment="0" applyProtection="0"/>
  </cellStyleXfs>
  <cellXfs count="56">
    <xf numFmtId="0" fontId="0" fillId="0" borderId="0" xfId="0"/>
    <xf numFmtId="0" fontId="1"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vertical="center"/>
    </xf>
    <xf numFmtId="0" fontId="3" fillId="0" borderId="0" xfId="0" applyFont="1"/>
    <xf numFmtId="0" fontId="4" fillId="0" borderId="0" xfId="0" applyFont="1" applyAlignment="1">
      <alignment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0" borderId="0" xfId="0" applyFont="1" applyAlignment="1">
      <alignment horizontal="center"/>
    </xf>
    <xf numFmtId="0" fontId="5" fillId="2" borderId="1" xfId="0" applyFont="1" applyFill="1" applyBorder="1" applyAlignment="1">
      <alignment horizontal="center"/>
    </xf>
    <xf numFmtId="0" fontId="5" fillId="2" borderId="1" xfId="0" applyFont="1" applyFill="1" applyBorder="1"/>
    <xf numFmtId="164" fontId="5" fillId="3" borderId="1" xfId="0" applyNumberFormat="1" applyFont="1" applyFill="1" applyBorder="1"/>
    <xf numFmtId="165" fontId="5" fillId="2" borderId="1" xfId="0" applyNumberFormat="1" applyFont="1" applyFill="1" applyBorder="1" applyAlignment="1">
      <alignment horizontal="center"/>
    </xf>
    <xf numFmtId="0" fontId="2" fillId="2" borderId="1" xfId="0" applyFont="1" applyFill="1" applyBorder="1"/>
    <xf numFmtId="9" fontId="5" fillId="2" borderId="1" xfId="0" applyNumberFormat="1" applyFont="1" applyFill="1" applyBorder="1" applyAlignment="1">
      <alignment horizontal="center"/>
    </xf>
    <xf numFmtId="0" fontId="5" fillId="3" borderId="1" xfId="0" applyFont="1" applyFill="1" applyBorder="1"/>
    <xf numFmtId="9" fontId="5" fillId="3" borderId="1" xfId="0" applyNumberFormat="1" applyFont="1" applyFill="1" applyBorder="1"/>
    <xf numFmtId="10" fontId="5" fillId="3" borderId="1" xfId="0" applyNumberFormat="1" applyFont="1" applyFill="1" applyBorder="1"/>
    <xf numFmtId="164" fontId="5" fillId="3" borderId="4" xfId="0" applyNumberFormat="1" applyFont="1" applyFill="1" applyBorder="1"/>
    <xf numFmtId="165" fontId="5" fillId="2" borderId="1" xfId="0" applyNumberFormat="1" applyFont="1" applyFill="1" applyBorder="1"/>
    <xf numFmtId="0" fontId="5" fillId="2" borderId="5" xfId="0" applyFont="1" applyFill="1" applyBorder="1"/>
    <xf numFmtId="0" fontId="5" fillId="0" borderId="1" xfId="0" applyFont="1" applyBorder="1"/>
    <xf numFmtId="0" fontId="11" fillId="0" borderId="0" xfId="0" applyFont="1"/>
    <xf numFmtId="0" fontId="0" fillId="4" borderId="6" xfId="0" applyFill="1" applyBorder="1"/>
    <xf numFmtId="0" fontId="5" fillId="2" borderId="2" xfId="0" applyFont="1" applyFill="1" applyBorder="1" applyAlignment="1">
      <alignment horizontal="center"/>
    </xf>
    <xf numFmtId="0" fontId="2" fillId="2" borderId="10" xfId="0" applyFont="1" applyFill="1" applyBorder="1" applyAlignment="1">
      <alignment horizontal="center" vertical="center"/>
    </xf>
    <xf numFmtId="166" fontId="0" fillId="4" borderId="6" xfId="0" applyNumberFormat="1" applyFill="1" applyBorder="1"/>
    <xf numFmtId="0" fontId="9" fillId="0" borderId="0" xfId="0" applyFont="1"/>
    <xf numFmtId="164" fontId="0" fillId="0" borderId="0" xfId="0" applyNumberFormat="1"/>
    <xf numFmtId="0" fontId="0" fillId="0" borderId="6" xfId="0" pivotButton="1" applyBorder="1"/>
    <xf numFmtId="0" fontId="0" fillId="0" borderId="6" xfId="0" applyBorder="1" applyAlignment="1">
      <alignment horizontal="left"/>
    </xf>
    <xf numFmtId="164" fontId="0" fillId="0" borderId="6" xfId="0" applyNumberFormat="1" applyBorder="1"/>
    <xf numFmtId="0" fontId="0" fillId="0" borderId="6" xfId="0" applyBorder="1" applyAlignment="1">
      <alignment horizontal="center"/>
    </xf>
    <xf numFmtId="0" fontId="0" fillId="0" borderId="6" xfId="0" pivotButton="1" applyBorder="1" applyAlignment="1">
      <alignment horizontal="center"/>
    </xf>
    <xf numFmtId="0" fontId="0" fillId="0" borderId="11" xfId="0" applyBorder="1"/>
    <xf numFmtId="0" fontId="0" fillId="0" borderId="7" xfId="0" pivotButton="1" applyBorder="1"/>
    <xf numFmtId="166" fontId="0" fillId="0" borderId="0" xfId="0" applyNumberFormat="1"/>
    <xf numFmtId="0" fontId="9" fillId="3" borderId="1" xfId="0" applyFont="1" applyFill="1" applyBorder="1"/>
    <xf numFmtId="0" fontId="9" fillId="3" borderId="1" xfId="0" applyFont="1" applyFill="1" applyBorder="1" applyAlignment="1">
      <alignment wrapText="1"/>
    </xf>
    <xf numFmtId="167" fontId="5" fillId="3" borderId="1" xfId="0" applyNumberFormat="1" applyFont="1" applyFill="1" applyBorder="1"/>
    <xf numFmtId="2" fontId="5" fillId="3" borderId="1" xfId="1" applyNumberFormat="1" applyFont="1" applyFill="1" applyBorder="1"/>
    <xf numFmtId="0" fontId="5" fillId="2" borderId="2" xfId="0" applyFont="1" applyFill="1" applyBorder="1"/>
    <xf numFmtId="164" fontId="5" fillId="3" borderId="12" xfId="0" applyNumberFormat="1" applyFont="1" applyFill="1" applyBorder="1"/>
    <xf numFmtId="164" fontId="5" fillId="3" borderId="6" xfId="0" applyNumberFormat="1" applyFont="1" applyFill="1" applyBorder="1"/>
    <xf numFmtId="0" fontId="10" fillId="4" borderId="6" xfId="0" applyFont="1" applyFill="1" applyBorder="1"/>
    <xf numFmtId="0" fontId="11" fillId="0" borderId="6" xfId="0" applyFont="1" applyBorder="1" applyAlignment="1">
      <alignment horizontal="left" vertical="top" wrapText="1"/>
    </xf>
    <xf numFmtId="0" fontId="10" fillId="4" borderId="7" xfId="0" applyFont="1" applyFill="1" applyBorder="1" applyAlignment="1">
      <alignment horizontal="center"/>
    </xf>
    <xf numFmtId="0" fontId="10" fillId="4" borderId="8" xfId="0" applyFont="1" applyFill="1" applyBorder="1" applyAlignment="1">
      <alignment horizontal="center"/>
    </xf>
    <xf numFmtId="0" fontId="10" fillId="4" borderId="9" xfId="0" applyFont="1" applyFill="1" applyBorder="1" applyAlignment="1">
      <alignment horizontal="center"/>
    </xf>
    <xf numFmtId="0" fontId="13" fillId="5" borderId="6" xfId="0" applyFont="1" applyFill="1" applyBorder="1" applyAlignment="1">
      <alignment horizontal="center"/>
    </xf>
    <xf numFmtId="0" fontId="10" fillId="6" borderId="6" xfId="0" applyFont="1" applyFill="1" applyBorder="1" applyAlignment="1">
      <alignment horizontal="center"/>
    </xf>
    <xf numFmtId="0" fontId="2" fillId="2" borderId="2" xfId="0" applyFont="1" applyFill="1" applyBorder="1" applyAlignment="1">
      <alignment horizontal="center"/>
    </xf>
    <xf numFmtId="0" fontId="6" fillId="0" borderId="3" xfId="0" applyFont="1" applyBorder="1"/>
    <xf numFmtId="0" fontId="11" fillId="0" borderId="6" xfId="0" applyFont="1" applyBorder="1" applyAlignment="1">
      <alignment horizontal="left" vertical="center" wrapText="1"/>
    </xf>
  </cellXfs>
  <cellStyles count="2">
    <cellStyle name="Millares" xfId="1" builtinId="3"/>
    <cellStyle name="Normal" xfId="0" builtinId="0"/>
  </cellStyles>
  <dxfs count="14">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[TP Grupal.xlsx]Tabla Dinámica!TablaDinámica1</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sz="1600" b="1" i="0" u="none" strike="noStrike" baseline="0"/>
              <a:t>Comparación de Sueldos Netos por Categoría y Turno</a:t>
            </a:r>
            <a:endParaRPr lang="es-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AR"/>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 Dinámica'!$B$3:$B$4</c:f>
              <c:strCache>
                <c:ptCount val="1"/>
                <c:pt idx="0">
                  <c:v>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 Dinámica'!$A$5:$A$12</c:f>
              <c:strCache>
                <c:ptCount val="7"/>
                <c:pt idx="0">
                  <c:v>1</c:v>
                </c:pt>
                <c:pt idx="1">
                  <c:v>2</c:v>
                </c:pt>
                <c:pt idx="2">
                  <c:v>3</c:v>
                </c:pt>
                <c:pt idx="3">
                  <c:v>4</c:v>
                </c:pt>
                <c:pt idx="4">
                  <c:v>5</c:v>
                </c:pt>
                <c:pt idx="5">
                  <c:v>6</c:v>
                </c:pt>
                <c:pt idx="6">
                  <c:v>7</c:v>
                </c:pt>
              </c:strCache>
            </c:strRef>
          </c:cat>
          <c:val>
            <c:numRef>
              <c:f>'Tabla Dinámica'!$B$5:$B$12</c:f>
              <c:numCache>
                <c:formatCode>_ "$"\ * #,##0.00_ ;_ "$"\ * \-#,##0.00_ ;_ "$"\ * "-"??_ ;_ @_ </c:formatCode>
                <c:ptCount val="7"/>
                <c:pt idx="0">
                  <c:v>528000</c:v>
                </c:pt>
                <c:pt idx="1">
                  <c:v>545600</c:v>
                </c:pt>
                <c:pt idx="2">
                  <c:v>1408000</c:v>
                </c:pt>
                <c:pt idx="3">
                  <c:v>4158000</c:v>
                </c:pt>
                <c:pt idx="4">
                  <c:v>2464000</c:v>
                </c:pt>
                <c:pt idx="5">
                  <c:v>343200</c:v>
                </c:pt>
                <c:pt idx="6">
                  <c:v>431200</c:v>
                </c:pt>
              </c:numCache>
            </c:numRef>
          </c:val>
          <c:extLst>
            <c:ext xmlns:c16="http://schemas.microsoft.com/office/drawing/2014/chart" uri="{C3380CC4-5D6E-409C-BE32-E72D297353CC}">
              <c16:uniqueId val="{00000000-5953-4F81-BEAB-9EC29EDA1949}"/>
            </c:ext>
          </c:extLst>
        </c:ser>
        <c:ser>
          <c:idx val="1"/>
          <c:order val="1"/>
          <c:tx>
            <c:strRef>
              <c:f>'Tabla Dinámica'!$C$3:$C$4</c:f>
              <c:strCache>
                <c:ptCount val="1"/>
                <c:pt idx="0">
                  <c:v>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 Dinámica'!$A$5:$A$12</c:f>
              <c:strCache>
                <c:ptCount val="7"/>
                <c:pt idx="0">
                  <c:v>1</c:v>
                </c:pt>
                <c:pt idx="1">
                  <c:v>2</c:v>
                </c:pt>
                <c:pt idx="2">
                  <c:v>3</c:v>
                </c:pt>
                <c:pt idx="3">
                  <c:v>4</c:v>
                </c:pt>
                <c:pt idx="4">
                  <c:v>5</c:v>
                </c:pt>
                <c:pt idx="5">
                  <c:v>6</c:v>
                </c:pt>
                <c:pt idx="6">
                  <c:v>7</c:v>
                </c:pt>
              </c:strCache>
            </c:strRef>
          </c:cat>
          <c:val>
            <c:numRef>
              <c:f>'Tabla Dinámica'!$C$5:$C$12</c:f>
              <c:numCache>
                <c:formatCode>_ "$"\ * #,##0.00_ ;_ "$"\ * \-#,##0.00_ ;_ "$"\ * "-"??_ ;_ @_ </c:formatCode>
                <c:ptCount val="7"/>
                <c:pt idx="0">
                  <c:v>558000</c:v>
                </c:pt>
                <c:pt idx="1">
                  <c:v>288300</c:v>
                </c:pt>
                <c:pt idx="2">
                  <c:v>595200</c:v>
                </c:pt>
                <c:pt idx="4">
                  <c:v>1627500</c:v>
                </c:pt>
                <c:pt idx="6">
                  <c:v>1367100</c:v>
                </c:pt>
              </c:numCache>
            </c:numRef>
          </c:val>
          <c:extLst>
            <c:ext xmlns:c16="http://schemas.microsoft.com/office/drawing/2014/chart" uri="{C3380CC4-5D6E-409C-BE32-E72D297353CC}">
              <c16:uniqueId val="{00000001-5953-4F81-BEAB-9EC29EDA1949}"/>
            </c:ext>
          </c:extLst>
        </c:ser>
        <c:ser>
          <c:idx val="2"/>
          <c:order val="2"/>
          <c:tx>
            <c:strRef>
              <c:f>'Tabla Dinámica'!$D$3:$D$4</c:f>
              <c:strCache>
                <c:ptCount val="1"/>
                <c:pt idx="0">
                  <c:v>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 Dinámica'!$A$5:$A$12</c:f>
              <c:strCache>
                <c:ptCount val="7"/>
                <c:pt idx="0">
                  <c:v>1</c:v>
                </c:pt>
                <c:pt idx="1">
                  <c:v>2</c:v>
                </c:pt>
                <c:pt idx="2">
                  <c:v>3</c:v>
                </c:pt>
                <c:pt idx="3">
                  <c:v>4</c:v>
                </c:pt>
                <c:pt idx="4">
                  <c:v>5</c:v>
                </c:pt>
                <c:pt idx="5">
                  <c:v>6</c:v>
                </c:pt>
                <c:pt idx="6">
                  <c:v>7</c:v>
                </c:pt>
              </c:strCache>
            </c:strRef>
          </c:cat>
          <c:val>
            <c:numRef>
              <c:f>'Tabla Dinámica'!$D$5:$D$12</c:f>
              <c:numCache>
                <c:formatCode>_ "$"\ * #,##0.00_ ;_ "$"\ * \-#,##0.00_ ;_ "$"\ * "-"??_ ;_ @_ </c:formatCode>
                <c:ptCount val="7"/>
                <c:pt idx="1">
                  <c:v>263500</c:v>
                </c:pt>
                <c:pt idx="2">
                  <c:v>544000</c:v>
                </c:pt>
                <c:pt idx="4">
                  <c:v>595000</c:v>
                </c:pt>
                <c:pt idx="5">
                  <c:v>331500</c:v>
                </c:pt>
              </c:numCache>
            </c:numRef>
          </c:val>
          <c:extLst>
            <c:ext xmlns:c16="http://schemas.microsoft.com/office/drawing/2014/chart" uri="{C3380CC4-5D6E-409C-BE32-E72D297353CC}">
              <c16:uniqueId val="{00000002-5953-4F81-BEAB-9EC29EDA1949}"/>
            </c:ext>
          </c:extLst>
        </c:ser>
        <c:dLbls>
          <c:showLegendKey val="0"/>
          <c:showVal val="0"/>
          <c:showCatName val="0"/>
          <c:showSerName val="0"/>
          <c:showPercent val="0"/>
          <c:showBubbleSize val="0"/>
        </c:dLbls>
        <c:gapWidth val="115"/>
        <c:overlap val="-20"/>
        <c:axId val="885934079"/>
        <c:axId val="885935039"/>
      </c:barChart>
      <c:catAx>
        <c:axId val="8859340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885935039"/>
        <c:crosses val="autoZero"/>
        <c:auto val="1"/>
        <c:lblAlgn val="ctr"/>
        <c:lblOffset val="100"/>
        <c:noMultiLvlLbl val="0"/>
      </c:catAx>
      <c:valAx>
        <c:axId val="885935039"/>
        <c:scaling>
          <c:orientation val="minMax"/>
        </c:scaling>
        <c:delete val="0"/>
        <c:axPos val="b"/>
        <c:majorGridlines>
          <c:spPr>
            <a:ln w="9525" cap="flat" cmpd="sng" algn="ctr">
              <a:solidFill>
                <a:schemeClr val="tx1">
                  <a:lumMod val="15000"/>
                  <a:lumOff val="85000"/>
                </a:schemeClr>
              </a:solidFill>
              <a:round/>
            </a:ln>
            <a:effectLst/>
          </c:spPr>
        </c:majorGridlines>
        <c:numFmt formatCode="_ &quot;$&quot;\ * #,##0.00_ ;_ &quot;$&quot;\ * \-#,##0.0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88593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s-AR"/>
              <a:t>Histograma de sueldos netos y Polígono de frecuencia</a:t>
            </a:r>
            <a:endParaRPr lang="es-ES" sz="1400" b="0" i="0" u="none" strike="noStrike" baseline="0">
              <a:solidFill>
                <a:srgbClr val="000000">
                  <a:lumMod val="65000"/>
                  <a:lumOff val="35000"/>
                </a:srgbClr>
              </a:solidFill>
              <a:latin typeface="Aptos Narrow"/>
            </a:endParaRPr>
          </a:p>
        </cx:rich>
      </cx:tx>
    </cx:title>
    <cx:plotArea>
      <cx:plotAreaRegion>
        <cx:series layoutId="clusteredColumn" uniqueId="{F661F4D9-CEFF-4175-8554-A1D946952DA9}">
          <cx:dataId val="0"/>
          <cx:layoutPr>
            <cx:aggregation/>
          </cx:layoutPr>
          <cx:axisId val="1"/>
        </cx:series>
        <cx:series layoutId="paretoLine" ownerIdx="0" uniqueId="{46A93A68-F215-49E2-889A-44EB4839BE95}">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704849</xdr:colOff>
      <xdr:row>57</xdr:row>
      <xdr:rowOff>4761</xdr:rowOff>
    </xdr:from>
    <xdr:to>
      <xdr:col>17</xdr:col>
      <xdr:colOff>704849</xdr:colOff>
      <xdr:row>70</xdr:row>
      <xdr:rowOff>190499</xdr:rowOff>
    </xdr:to>
    <mc:AlternateContent xmlns:mc="http://schemas.openxmlformats.org/markup-compatibility/2006">
      <mc:Choice xmlns:cx1="http://schemas.microsoft.com/office/drawing/2015/9/8/chartex" Requires="cx1">
        <xdr:graphicFrame macro="">
          <xdr:nvGraphicFramePr>
            <xdr:cNvPr id="7" name="Gráfico 6">
              <a:extLst>
                <a:ext uri="{FF2B5EF4-FFF2-40B4-BE49-F238E27FC236}">
                  <a16:creationId xmlns:a16="http://schemas.microsoft.com/office/drawing/2014/main" id="{1F1B83A2-5ECB-9E93-F438-BB01C50EC3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134849" y="11244261"/>
              <a:ext cx="5915025" cy="2786063"/>
            </a:xfrm>
            <a:prstGeom prst="rect">
              <a:avLst/>
            </a:prstGeom>
            <a:solidFill>
              <a:prstClr val="white"/>
            </a:solidFill>
            <a:ln w="1">
              <a:solidFill>
                <a:prstClr val="green"/>
              </a:solidFill>
            </a:ln>
          </xdr:spPr>
          <xdr:txBody>
            <a:bodyPr vertOverflow="clip" horzOverflow="clip"/>
            <a:lstStyle/>
            <a:p>
              <a:r>
                <a:rPr lang="es-AR"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14286</xdr:colOff>
      <xdr:row>1</xdr:row>
      <xdr:rowOff>4762</xdr:rowOff>
    </xdr:from>
    <xdr:to>
      <xdr:col>14</xdr:col>
      <xdr:colOff>761999</xdr:colOff>
      <xdr:row>16</xdr:row>
      <xdr:rowOff>0</xdr:rowOff>
    </xdr:to>
    <xdr:graphicFrame macro="">
      <xdr:nvGraphicFramePr>
        <xdr:cNvPr id="2" name="Gráfico 1">
          <a:extLst>
            <a:ext uri="{FF2B5EF4-FFF2-40B4-BE49-F238E27FC236}">
              <a16:creationId xmlns:a16="http://schemas.microsoft.com/office/drawing/2014/main" id="{DDCE1C23-66F4-B873-0769-4AFE959EC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BIAN BERTOTTI" refreshedDate="45893.696781365739" createdVersion="8" refreshedVersion="8" minRefreshableVersion="3" recordCount="53" xr:uid="{BC4131C6-B541-48CA-A0B9-57048A55F42F}">
  <cacheSource type="worksheet">
    <worksheetSource ref="A3:L56" sheet="Datos"/>
  </cacheSource>
  <cacheFields count="12">
    <cacheField name="DNI" numFmtId="0">
      <sharedItems containsSemiMixedTypes="0" containsString="0" containsNumber="1" containsInteger="1" minValue="1047490" maxValue="36240682"/>
    </cacheField>
    <cacheField name="Apellido y Nombre" numFmtId="0">
      <sharedItems/>
    </cacheField>
    <cacheField name="Turno" numFmtId="0">
      <sharedItems count="3">
        <s v="M"/>
        <s v="N"/>
        <s v="T"/>
      </sharedItems>
    </cacheField>
    <cacheField name="Categoría" numFmtId="0">
      <sharedItems containsSemiMixedTypes="0" containsString="0" containsNumber="1" containsInteger="1" minValue="1" maxValue="7" count="7">
        <n v="1"/>
        <n v="2"/>
        <n v="3"/>
        <n v="4"/>
        <n v="5"/>
        <n v="7"/>
        <n v="6"/>
      </sharedItems>
    </cacheField>
    <cacheField name="Sueldos" numFmtId="166">
      <sharedItems containsSemiMixedTypes="0" containsString="0" containsNumber="1" containsInteger="1" minValue="315000" maxValue="539000"/>
    </cacheField>
    <cacheField name="Plus" numFmtId="164">
      <sharedItems containsSemiMixedTypes="0" containsString="0" containsNumber="1" containsInteger="1" minValue="6200" maxValue="49000"/>
    </cacheField>
    <cacheField name="Sueldo básico" numFmtId="164">
      <sharedItems containsSemiMixedTypes="0" containsString="0" containsNumber="1" containsInteger="1" minValue="300000" maxValue="490000"/>
    </cacheField>
    <cacheField name="Jubilación" numFmtId="164">
      <sharedItems containsSemiMixedTypes="0" containsString="0" containsNumber="1" containsInteger="1" minValue="33000" maxValue="53900"/>
    </cacheField>
    <cacheField name="Obra social" numFmtId="164">
      <sharedItems containsSemiMixedTypes="0" containsString="0" containsNumber="1" containsInteger="1" minValue="9000" maxValue="14700"/>
    </cacheField>
    <cacheField name="Sindicato" numFmtId="164">
      <sharedItems containsSemiMixedTypes="0" containsString="0" containsNumber="1" containsInteger="1" minValue="9000" maxValue="14700"/>
    </cacheField>
    <cacheField name="Total de retenciones" numFmtId="164">
      <sharedItems containsSemiMixedTypes="0" containsString="0" containsNumber="1" containsInteger="1" minValue="51000" maxValue="83300"/>
    </cacheField>
    <cacheField name="Sueldo Neto" numFmtId="164">
      <sharedItems containsSemiMixedTypes="0" containsString="0" containsNumber="1" containsInteger="1" minValue="263500" maxValue="4557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n v="24154200"/>
    <s v="PEDRO KARINA ELIZABETH"/>
    <x v="0"/>
    <x v="0"/>
    <n v="315000"/>
    <n v="15000"/>
    <n v="300000"/>
    <n v="33000"/>
    <n v="9000"/>
    <n v="9000"/>
    <n v="51000"/>
    <n v="264000"/>
  </r>
  <r>
    <n v="25263065"/>
    <s v="SORIANELLO MARINA GABRIELA"/>
    <x v="0"/>
    <x v="0"/>
    <n v="315000"/>
    <n v="15000"/>
    <n v="300000"/>
    <n v="33000"/>
    <n v="9000"/>
    <n v="9000"/>
    <n v="51000"/>
    <n v="264000"/>
  </r>
  <r>
    <n v="25422803"/>
    <s v="DIAZ ADRIANA NANCY"/>
    <x v="1"/>
    <x v="0"/>
    <n v="330000"/>
    <n v="30000"/>
    <n v="300000"/>
    <n v="33000"/>
    <n v="9000"/>
    <n v="9000"/>
    <n v="51000"/>
    <n v="279000"/>
  </r>
  <r>
    <n v="26359063"/>
    <s v="LOGAMBINO LORENA GABRIELA"/>
    <x v="1"/>
    <x v="0"/>
    <n v="330000"/>
    <n v="30000"/>
    <n v="300000"/>
    <n v="33000"/>
    <n v="9000"/>
    <n v="9000"/>
    <n v="51000"/>
    <n v="279000"/>
  </r>
  <r>
    <n v="25684632"/>
    <s v="BOURQUIN MARIA BEATRIZ  "/>
    <x v="0"/>
    <x v="1"/>
    <n v="325500"/>
    <n v="15500"/>
    <n v="310000"/>
    <n v="34100"/>
    <n v="9300"/>
    <n v="9300"/>
    <n v="52700"/>
    <n v="272800"/>
  </r>
  <r>
    <n v="25318195"/>
    <s v="CURCI GABRIELA ALEJANDRA"/>
    <x v="0"/>
    <x v="1"/>
    <n v="325500"/>
    <n v="15500"/>
    <n v="310000"/>
    <n v="34100"/>
    <n v="9300"/>
    <n v="9300"/>
    <n v="52700"/>
    <n v="272800"/>
  </r>
  <r>
    <n v="11870150"/>
    <s v="SERIAL LUZ POMPEYA"/>
    <x v="1"/>
    <x v="1"/>
    <n v="341000"/>
    <n v="31000"/>
    <n v="310000"/>
    <n v="34100"/>
    <n v="9300"/>
    <n v="9300"/>
    <n v="52700"/>
    <n v="288300"/>
  </r>
  <r>
    <n v="22853827"/>
    <s v="FERNANDEZ  Y CARBALLO MARIA "/>
    <x v="2"/>
    <x v="1"/>
    <n v="316200"/>
    <n v="6200"/>
    <n v="310000"/>
    <n v="34100"/>
    <n v="9300"/>
    <n v="9300"/>
    <n v="52700"/>
    <n v="263500"/>
  </r>
  <r>
    <n v="26326103"/>
    <s v="COSTA HERNAN LUIS"/>
    <x v="0"/>
    <x v="2"/>
    <n v="336000"/>
    <n v="16000"/>
    <n v="320000"/>
    <n v="35200"/>
    <n v="9600"/>
    <n v="9600"/>
    <n v="54400"/>
    <n v="281600"/>
  </r>
  <r>
    <n v="24997785"/>
    <s v="ESCALANTE GISPER MARCELO M."/>
    <x v="0"/>
    <x v="2"/>
    <n v="336000"/>
    <n v="16000"/>
    <n v="320000"/>
    <n v="35200"/>
    <n v="9600"/>
    <n v="9600"/>
    <n v="54400"/>
    <n v="281600"/>
  </r>
  <r>
    <n v="26463951"/>
    <s v="GONZALEZ VANESA CAROLINA"/>
    <x v="0"/>
    <x v="2"/>
    <n v="336000"/>
    <n v="16000"/>
    <n v="320000"/>
    <n v="35200"/>
    <n v="9600"/>
    <n v="9600"/>
    <n v="54400"/>
    <n v="281600"/>
  </r>
  <r>
    <n v="25855253"/>
    <s v="MENOTTI CECILIA"/>
    <x v="0"/>
    <x v="2"/>
    <n v="336000"/>
    <n v="16000"/>
    <n v="320000"/>
    <n v="35200"/>
    <n v="9600"/>
    <n v="9600"/>
    <n v="54400"/>
    <n v="281600"/>
  </r>
  <r>
    <n v="26023269"/>
    <s v="VERACIERTO TAMARA NIEVES"/>
    <x v="0"/>
    <x v="2"/>
    <n v="336000"/>
    <n v="16000"/>
    <n v="320000"/>
    <n v="35200"/>
    <n v="9600"/>
    <n v="9600"/>
    <n v="54400"/>
    <n v="281600"/>
  </r>
  <r>
    <n v="25866585"/>
    <s v="ALFERII CLAUDIO MARCELO"/>
    <x v="1"/>
    <x v="2"/>
    <n v="352000"/>
    <n v="32000"/>
    <n v="320000"/>
    <n v="35200"/>
    <n v="9600"/>
    <n v="9600"/>
    <n v="54400"/>
    <n v="297600"/>
  </r>
  <r>
    <n v="36240682"/>
    <s v="ATENCIO ADRIANA"/>
    <x v="1"/>
    <x v="2"/>
    <n v="352000"/>
    <n v="32000"/>
    <n v="320000"/>
    <n v="35200"/>
    <n v="9600"/>
    <n v="9600"/>
    <n v="54400"/>
    <n v="297600"/>
  </r>
  <r>
    <n v="25545110"/>
    <s v="FARIAS SEBASTIAN"/>
    <x v="2"/>
    <x v="2"/>
    <n v="326400"/>
    <n v="6400"/>
    <n v="320000"/>
    <n v="35200"/>
    <n v="9600"/>
    <n v="9600"/>
    <n v="54400"/>
    <n v="272000"/>
  </r>
  <r>
    <n v="26559045"/>
    <s v="GONZALEZ ANDREA VERONICA"/>
    <x v="2"/>
    <x v="2"/>
    <n v="326400"/>
    <n v="6400"/>
    <n v="320000"/>
    <n v="35200"/>
    <n v="9600"/>
    <n v="9600"/>
    <n v="54400"/>
    <n v="272000"/>
  </r>
  <r>
    <n v="26495303"/>
    <s v="DUBS CLAUDIA ALEJANDRA"/>
    <x v="0"/>
    <x v="3"/>
    <n v="330750"/>
    <n v="15750"/>
    <n v="315000"/>
    <n v="34650"/>
    <n v="9450"/>
    <n v="9450"/>
    <n v="53550"/>
    <n v="277200"/>
  </r>
  <r>
    <n v="26592248"/>
    <s v="GOMEZ BARRENA MIRIAM SABRINA "/>
    <x v="0"/>
    <x v="3"/>
    <n v="330750"/>
    <n v="15750"/>
    <n v="315000"/>
    <n v="34650"/>
    <n v="9450"/>
    <n v="9450"/>
    <n v="53550"/>
    <n v="277200"/>
  </r>
  <r>
    <n v="25317423"/>
    <s v="GUILLEN PAULA"/>
    <x v="0"/>
    <x v="3"/>
    <n v="330750"/>
    <n v="15750"/>
    <n v="315000"/>
    <n v="34650"/>
    <n v="9450"/>
    <n v="9450"/>
    <n v="53550"/>
    <n v="277200"/>
  </r>
  <r>
    <n v="25875816"/>
    <s v="MALARA ANDRES DANIEL"/>
    <x v="0"/>
    <x v="3"/>
    <n v="330750"/>
    <n v="15750"/>
    <n v="315000"/>
    <n v="34650"/>
    <n v="9450"/>
    <n v="9450"/>
    <n v="53550"/>
    <n v="277200"/>
  </r>
  <r>
    <n v="26402140"/>
    <s v="MARTI GABRIELA ANALIA"/>
    <x v="0"/>
    <x v="3"/>
    <n v="330750"/>
    <n v="15750"/>
    <n v="315000"/>
    <n v="34650"/>
    <n v="9450"/>
    <n v="9450"/>
    <n v="53550"/>
    <n v="277200"/>
  </r>
  <r>
    <n v="25833182"/>
    <s v="MENDIGUREN MARTIN IGNACIO"/>
    <x v="0"/>
    <x v="3"/>
    <n v="330750"/>
    <n v="15750"/>
    <n v="315000"/>
    <n v="34650"/>
    <n v="9450"/>
    <n v="9450"/>
    <n v="53550"/>
    <n v="277200"/>
  </r>
  <r>
    <n v="26605740"/>
    <s v="MENENDEZ CARLOS ALBERTO"/>
    <x v="0"/>
    <x v="3"/>
    <n v="330750"/>
    <n v="15750"/>
    <n v="315000"/>
    <n v="34650"/>
    <n v="9450"/>
    <n v="9450"/>
    <n v="53550"/>
    <n v="277200"/>
  </r>
  <r>
    <n v="25878954"/>
    <s v="MORELATO ARIEL JORGE"/>
    <x v="0"/>
    <x v="3"/>
    <n v="330750"/>
    <n v="15750"/>
    <n v="315000"/>
    <n v="34650"/>
    <n v="9450"/>
    <n v="9450"/>
    <n v="53550"/>
    <n v="277200"/>
  </r>
  <r>
    <n v="27494934"/>
    <s v="NETO ORNELA NOELIA"/>
    <x v="0"/>
    <x v="3"/>
    <n v="330750"/>
    <n v="15750"/>
    <n v="315000"/>
    <n v="34650"/>
    <n v="9450"/>
    <n v="9450"/>
    <n v="53550"/>
    <n v="277200"/>
  </r>
  <r>
    <n v="26088964"/>
    <s v="OLIVERA LEANDRO JORGE ARIEL"/>
    <x v="0"/>
    <x v="3"/>
    <n v="330750"/>
    <n v="15750"/>
    <n v="315000"/>
    <n v="34650"/>
    <n v="9450"/>
    <n v="9450"/>
    <n v="53550"/>
    <n v="277200"/>
  </r>
  <r>
    <n v="26338517"/>
    <s v="PEDINI MARIANO OSCAR"/>
    <x v="0"/>
    <x v="3"/>
    <n v="330750"/>
    <n v="15750"/>
    <n v="315000"/>
    <n v="34650"/>
    <n v="9450"/>
    <n v="9450"/>
    <n v="53550"/>
    <n v="277200"/>
  </r>
  <r>
    <n v="25612731"/>
    <s v="ROSSI LUCIANO PABLO "/>
    <x v="0"/>
    <x v="3"/>
    <n v="330750"/>
    <n v="15750"/>
    <n v="315000"/>
    <n v="34650"/>
    <n v="9450"/>
    <n v="9450"/>
    <n v="53550"/>
    <n v="277200"/>
  </r>
  <r>
    <n v="26470288"/>
    <s v="RUSSOLO JAVIER ALEJANDRO "/>
    <x v="0"/>
    <x v="3"/>
    <n v="330750"/>
    <n v="15750"/>
    <n v="315000"/>
    <n v="34650"/>
    <n v="9450"/>
    <n v="9450"/>
    <n v="53550"/>
    <n v="277200"/>
  </r>
  <r>
    <n v="25378498"/>
    <s v="SASSONE VANESA ANALIA"/>
    <x v="0"/>
    <x v="3"/>
    <n v="330750"/>
    <n v="15750"/>
    <n v="315000"/>
    <n v="34650"/>
    <n v="9450"/>
    <n v="9450"/>
    <n v="53550"/>
    <n v="277200"/>
  </r>
  <r>
    <n v="25614344"/>
    <s v="VAZQUEZ RUBEN JAVIER"/>
    <x v="0"/>
    <x v="3"/>
    <n v="330750"/>
    <n v="15750"/>
    <n v="315000"/>
    <n v="34650"/>
    <n v="9450"/>
    <n v="9450"/>
    <n v="53550"/>
    <n v="277200"/>
  </r>
  <r>
    <n v="24481793"/>
    <s v="BACELLI MARIANO DANIEL"/>
    <x v="0"/>
    <x v="4"/>
    <n v="367500"/>
    <n v="17500"/>
    <n v="350000"/>
    <n v="38500"/>
    <n v="10500"/>
    <n v="10500"/>
    <n v="59500"/>
    <n v="308000"/>
  </r>
  <r>
    <n v="26752799"/>
    <s v="CACERES MARTINEZ SILVINA"/>
    <x v="0"/>
    <x v="4"/>
    <n v="367500"/>
    <n v="17500"/>
    <n v="350000"/>
    <n v="38500"/>
    <n v="10500"/>
    <n v="10500"/>
    <n v="59500"/>
    <n v="308000"/>
  </r>
  <r>
    <n v="24334222"/>
    <s v="FENOMENO ALEJANDRA"/>
    <x v="0"/>
    <x v="4"/>
    <n v="367500"/>
    <n v="17500"/>
    <n v="350000"/>
    <n v="38500"/>
    <n v="10500"/>
    <n v="10500"/>
    <n v="59500"/>
    <n v="308000"/>
  </r>
  <r>
    <n v="26466673"/>
    <s v="GONZALEZ JUAN IGNACIO"/>
    <x v="0"/>
    <x v="4"/>
    <n v="367500"/>
    <n v="17500"/>
    <n v="350000"/>
    <n v="38500"/>
    <n v="10500"/>
    <n v="10500"/>
    <n v="59500"/>
    <n v="308000"/>
  </r>
  <r>
    <n v="25743592"/>
    <s v="IRIARTE ANALIA CECILIA"/>
    <x v="0"/>
    <x v="4"/>
    <n v="367500"/>
    <n v="17500"/>
    <n v="350000"/>
    <n v="38500"/>
    <n v="10500"/>
    <n v="10500"/>
    <n v="59500"/>
    <n v="308000"/>
  </r>
  <r>
    <n v="26516126"/>
    <s v="LEZCANO GONZALEZ GABRIELA"/>
    <x v="0"/>
    <x v="4"/>
    <n v="367500"/>
    <n v="17500"/>
    <n v="350000"/>
    <n v="38500"/>
    <n v="10500"/>
    <n v="10500"/>
    <n v="59500"/>
    <n v="308000"/>
  </r>
  <r>
    <n v="25769362"/>
    <s v="MIRANDA ANDREA VERONICA "/>
    <x v="0"/>
    <x v="5"/>
    <n v="514500"/>
    <n v="24500"/>
    <n v="490000"/>
    <n v="53900"/>
    <n v="14700"/>
    <n v="14700"/>
    <n v="83300"/>
    <n v="431200"/>
  </r>
  <r>
    <n v="25583375"/>
    <s v="PELLINI MONICA NOEMI"/>
    <x v="0"/>
    <x v="4"/>
    <n v="367500"/>
    <n v="17500"/>
    <n v="350000"/>
    <n v="38500"/>
    <n v="10500"/>
    <n v="10500"/>
    <n v="59500"/>
    <n v="308000"/>
  </r>
  <r>
    <n v="26326438"/>
    <s v="SARTIRANA DANIELA BELEN"/>
    <x v="0"/>
    <x v="4"/>
    <n v="367500"/>
    <n v="17500"/>
    <n v="350000"/>
    <n v="38500"/>
    <n v="10500"/>
    <n v="10500"/>
    <n v="59500"/>
    <n v="308000"/>
  </r>
  <r>
    <n v="20379662"/>
    <s v="CEDRON JOSE LUIS"/>
    <x v="1"/>
    <x v="4"/>
    <n v="385000"/>
    <n v="35000"/>
    <n v="350000"/>
    <n v="38500"/>
    <n v="10500"/>
    <n v="10500"/>
    <n v="59500"/>
    <n v="325500"/>
  </r>
  <r>
    <n v="20735130"/>
    <s v="de TORRES CURTH ALEJANDRO A."/>
    <x v="1"/>
    <x v="4"/>
    <n v="385000"/>
    <n v="35000"/>
    <n v="350000"/>
    <n v="38500"/>
    <n v="10500"/>
    <n v="10500"/>
    <n v="59500"/>
    <n v="325500"/>
  </r>
  <r>
    <n v="26500550"/>
    <s v="DURSI EDUARDO HERNAN"/>
    <x v="1"/>
    <x v="4"/>
    <n v="385000"/>
    <n v="35000"/>
    <n v="350000"/>
    <n v="38500"/>
    <n v="10500"/>
    <n v="10500"/>
    <n v="59500"/>
    <n v="325500"/>
  </r>
  <r>
    <n v="24353082"/>
    <s v="NAVARRO MIGUEL ANGEL"/>
    <x v="1"/>
    <x v="5"/>
    <n v="539000"/>
    <n v="49000"/>
    <n v="490000"/>
    <n v="53900"/>
    <n v="14700"/>
    <n v="14700"/>
    <n v="83300"/>
    <n v="455700"/>
  </r>
  <r>
    <n v="23965711"/>
    <s v="RODRIGUEZ ALDO DAVID"/>
    <x v="1"/>
    <x v="4"/>
    <n v="385000"/>
    <n v="35000"/>
    <n v="350000"/>
    <n v="38500"/>
    <n v="10500"/>
    <n v="10500"/>
    <n v="59500"/>
    <n v="325500"/>
  </r>
  <r>
    <n v="26359431"/>
    <s v="VEDANI STANCO NATALIA YANINA"/>
    <x v="1"/>
    <x v="4"/>
    <n v="385000"/>
    <n v="35000"/>
    <n v="350000"/>
    <n v="38500"/>
    <n v="10500"/>
    <n v="10500"/>
    <n v="59500"/>
    <n v="325500"/>
  </r>
  <r>
    <n v="1047490"/>
    <s v="FERNANDEZ VIDAL MALQUI"/>
    <x v="2"/>
    <x v="4"/>
    <n v="357000"/>
    <n v="7000"/>
    <n v="350000"/>
    <n v="38500"/>
    <n v="10500"/>
    <n v="10500"/>
    <n v="59500"/>
    <n v="297500"/>
  </r>
  <r>
    <n v="10593841"/>
    <s v="TEDESCO MIRTA MABEL"/>
    <x v="2"/>
    <x v="4"/>
    <n v="357000"/>
    <n v="7000"/>
    <n v="350000"/>
    <n v="38500"/>
    <n v="10500"/>
    <n v="10500"/>
    <n v="59500"/>
    <n v="297500"/>
  </r>
  <r>
    <n v="25428283"/>
    <s v="LUNGARETTE EDUARDO JAVIER"/>
    <x v="0"/>
    <x v="6"/>
    <n v="409500"/>
    <n v="19500"/>
    <n v="390000"/>
    <n v="42900"/>
    <n v="11700"/>
    <n v="11700"/>
    <n v="66300"/>
    <n v="343200"/>
  </r>
  <r>
    <n v="21142829"/>
    <s v="RUCKER ALICIA CRISTINA "/>
    <x v="1"/>
    <x v="5"/>
    <n v="539000"/>
    <n v="49000"/>
    <n v="490000"/>
    <n v="53900"/>
    <n v="14700"/>
    <n v="14700"/>
    <n v="83300"/>
    <n v="455700"/>
  </r>
  <r>
    <n v="21771899"/>
    <s v="GOMEZ SANDRA MARCELA"/>
    <x v="2"/>
    <x v="6"/>
    <n v="397800"/>
    <n v="7800"/>
    <n v="390000"/>
    <n v="42900"/>
    <n v="11700"/>
    <n v="11700"/>
    <n v="66300"/>
    <n v="331500"/>
  </r>
  <r>
    <n v="24754444"/>
    <s v="BARBERIS PABLO MIGUEL"/>
    <x v="1"/>
    <x v="5"/>
    <n v="539000"/>
    <n v="49000"/>
    <n v="490000"/>
    <n v="53900"/>
    <n v="14700"/>
    <n v="14700"/>
    <n v="83300"/>
    <n v="4557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9CD2BF-1B33-4FDB-82BA-215FEC155B63}"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1" rowHeaderCaption="Categorías" colHeaderCaption="Turnos">
  <location ref="A3:E12" firstHeaderRow="1" firstDataRow="2" firstDataCol="1"/>
  <pivotFields count="12">
    <pivotField showAll="0"/>
    <pivotField showAll="0"/>
    <pivotField axis="axisCol" showAll="0">
      <items count="4">
        <item x="0"/>
        <item x="1"/>
        <item x="2"/>
        <item t="default"/>
      </items>
    </pivotField>
    <pivotField axis="axisRow" showAll="0">
      <items count="8">
        <item x="0"/>
        <item x="1"/>
        <item x="2"/>
        <item x="3"/>
        <item x="4"/>
        <item x="6"/>
        <item x="5"/>
        <item t="default"/>
      </items>
    </pivotField>
    <pivotField numFmtId="166"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3"/>
  </rowFields>
  <rowItems count="8">
    <i>
      <x/>
    </i>
    <i>
      <x v="1"/>
    </i>
    <i>
      <x v="2"/>
    </i>
    <i>
      <x v="3"/>
    </i>
    <i>
      <x v="4"/>
    </i>
    <i>
      <x v="5"/>
    </i>
    <i>
      <x v="6"/>
    </i>
    <i t="grand">
      <x/>
    </i>
  </rowItems>
  <colFields count="1">
    <field x="2"/>
  </colFields>
  <colItems count="4">
    <i>
      <x/>
    </i>
    <i>
      <x v="1"/>
    </i>
    <i>
      <x v="2"/>
    </i>
    <i t="grand">
      <x/>
    </i>
  </colItems>
  <dataFields count="1">
    <dataField name="Suma de Sueldo Neto" fld="11" baseField="0" baseItem="0" numFmtId="164"/>
  </dataFields>
  <formats count="14">
    <format dxfId="13">
      <pivotArea type="all" dataOnly="0" outline="0" fieldPosition="0"/>
    </format>
    <format dxfId="12">
      <pivotArea outline="0" collapsedLevelsAreSubtotals="1" fieldPosition="0"/>
    </format>
    <format dxfId="11">
      <pivotArea type="origin" dataOnly="0" labelOnly="1" outline="0" fieldPosition="0"/>
    </format>
    <format dxfId="10">
      <pivotArea field="2" type="button" dataOnly="0" labelOnly="1" outline="0" axis="axisCol" fieldPosition="0"/>
    </format>
    <format dxfId="9">
      <pivotArea type="topRight" dataOnly="0" labelOnly="1" outline="0" fieldPosition="0"/>
    </format>
    <format dxfId="8">
      <pivotArea field="3" type="button" dataOnly="0" labelOnly="1" outline="0" axis="axisRow" fieldPosition="0"/>
    </format>
    <format dxfId="7">
      <pivotArea dataOnly="0" labelOnly="1" fieldPosition="0">
        <references count="1">
          <reference field="3" count="0"/>
        </references>
      </pivotArea>
    </format>
    <format dxfId="6">
      <pivotArea dataOnly="0" labelOnly="1" grandRow="1" outline="0" fieldPosition="0"/>
    </format>
    <format dxfId="5">
      <pivotArea dataOnly="0" labelOnly="1" fieldPosition="0">
        <references count="1">
          <reference field="2" count="0"/>
        </references>
      </pivotArea>
    </format>
    <format dxfId="4">
      <pivotArea dataOnly="0" labelOnly="1" grandCol="1" outline="0" fieldPosition="0"/>
    </format>
    <format dxfId="3">
      <pivotArea field="2" type="button" dataOnly="0" labelOnly="1" outline="0" axis="axisCol" fieldPosition="0"/>
    </format>
    <format dxfId="2">
      <pivotArea type="topRight" dataOnly="0" labelOnly="1" outline="0" fieldPosition="0"/>
    </format>
    <format dxfId="1">
      <pivotArea field="2" type="button" dataOnly="0" labelOnly="1" outline="0" axis="axisCol" fieldPosition="0"/>
    </format>
    <format dxfId="0">
      <pivotArea type="topRight" dataOnly="0" labelOnly="1" outline="0" fieldPosition="0"/>
    </format>
  </formats>
  <chartFormats count="3">
    <chartFormat chart="8" format="0" series="1">
      <pivotArea type="data" outline="0" fieldPosition="0">
        <references count="2">
          <reference field="4294967294" count="1" selected="0">
            <x v="0"/>
          </reference>
          <reference field="2" count="1" selected="0">
            <x v="0"/>
          </reference>
        </references>
      </pivotArea>
    </chartFormat>
    <chartFormat chart="8" format="1" series="1">
      <pivotArea type="data" outline="0" fieldPosition="0">
        <references count="2">
          <reference field="4294967294" count="1" selected="0">
            <x v="0"/>
          </reference>
          <reference field="2" count="1" selected="0">
            <x v="1"/>
          </reference>
        </references>
      </pivotArea>
    </chartFormat>
    <chartFormat chart="8" format="2"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opLeftCell="A15" workbookViewId="0">
      <selection activeCell="P37" sqref="P37"/>
    </sheetView>
  </sheetViews>
  <sheetFormatPr baseColWidth="10" defaultColWidth="12.5703125" defaultRowHeight="15" customHeight="1" x14ac:dyDescent="0.25"/>
  <cols>
    <col min="1" max="1" width="11.42578125" customWidth="1"/>
    <col min="2" max="26" width="10.5703125" customWidth="1"/>
  </cols>
  <sheetData>
    <row r="1" spans="1:16" x14ac:dyDescent="0.25">
      <c r="A1" s="1" t="s">
        <v>0</v>
      </c>
      <c r="C1" s="51" t="s">
        <v>129</v>
      </c>
      <c r="D1" s="51"/>
      <c r="E1">
        <v>1</v>
      </c>
      <c r="G1" s="52" t="s">
        <v>130</v>
      </c>
      <c r="H1" s="52"/>
      <c r="I1" s="4">
        <v>0</v>
      </c>
      <c r="J1" s="4"/>
      <c r="K1" s="4"/>
      <c r="L1" s="4"/>
      <c r="M1" s="4"/>
      <c r="N1" s="3"/>
      <c r="O1" s="3"/>
    </row>
    <row r="3" spans="1:16" x14ac:dyDescent="0.25">
      <c r="A3" s="2">
        <v>1</v>
      </c>
      <c r="B3" s="5" t="s">
        <v>1</v>
      </c>
      <c r="G3">
        <v>1</v>
      </c>
      <c r="H3" s="48" t="s">
        <v>127</v>
      </c>
      <c r="I3" s="49"/>
      <c r="J3" s="49"/>
      <c r="K3" s="50"/>
      <c r="M3" s="48" t="s">
        <v>128</v>
      </c>
      <c r="N3" s="49"/>
      <c r="O3" s="49"/>
      <c r="P3" s="50"/>
    </row>
    <row r="4" spans="1:16" x14ac:dyDescent="0.25">
      <c r="A4" s="2">
        <v>2</v>
      </c>
      <c r="B4" s="5" t="s">
        <v>2</v>
      </c>
      <c r="F4">
        <v>1</v>
      </c>
    </row>
    <row r="5" spans="1:16" x14ac:dyDescent="0.25">
      <c r="A5" s="2">
        <v>3</v>
      </c>
      <c r="B5" s="5" t="s">
        <v>3</v>
      </c>
      <c r="I5">
        <v>1</v>
      </c>
    </row>
    <row r="6" spans="1:16" x14ac:dyDescent="0.25">
      <c r="A6" s="2">
        <v>4</v>
      </c>
      <c r="B6" s="5" t="s">
        <v>4</v>
      </c>
      <c r="M6">
        <v>1</v>
      </c>
    </row>
    <row r="7" spans="1:16" x14ac:dyDescent="0.25">
      <c r="A7" s="2">
        <v>5</v>
      </c>
      <c r="B7" s="5" t="s">
        <v>5</v>
      </c>
      <c r="I7">
        <v>1</v>
      </c>
    </row>
    <row r="8" spans="1:16" x14ac:dyDescent="0.25">
      <c r="A8" s="2">
        <v>6</v>
      </c>
      <c r="B8" s="5" t="s">
        <v>6</v>
      </c>
      <c r="P8">
        <v>1</v>
      </c>
    </row>
    <row r="9" spans="1:16" x14ac:dyDescent="0.25">
      <c r="A9" s="2">
        <v>7</v>
      </c>
      <c r="B9" s="29" t="s">
        <v>7</v>
      </c>
      <c r="M9">
        <v>1</v>
      </c>
    </row>
    <row r="10" spans="1:16" x14ac:dyDescent="0.25">
      <c r="A10" s="2">
        <v>8</v>
      </c>
      <c r="B10" s="5" t="s">
        <v>8</v>
      </c>
      <c r="J10">
        <v>1</v>
      </c>
    </row>
    <row r="11" spans="1:16" x14ac:dyDescent="0.25">
      <c r="A11" s="2">
        <v>9</v>
      </c>
      <c r="B11" s="5" t="s">
        <v>9</v>
      </c>
      <c r="F11">
        <v>1</v>
      </c>
    </row>
    <row r="12" spans="1:16" x14ac:dyDescent="0.25">
      <c r="A12" s="2">
        <v>10</v>
      </c>
      <c r="B12" s="5" t="s">
        <v>10</v>
      </c>
      <c r="G12">
        <v>1</v>
      </c>
    </row>
    <row r="13" spans="1:16" x14ac:dyDescent="0.25">
      <c r="A13" s="2">
        <v>11</v>
      </c>
      <c r="B13" s="5" t="s">
        <v>11</v>
      </c>
      <c r="M13">
        <v>1</v>
      </c>
    </row>
    <row r="14" spans="1:16" x14ac:dyDescent="0.25">
      <c r="A14" s="2">
        <v>12</v>
      </c>
      <c r="B14" s="5" t="s">
        <v>12</v>
      </c>
      <c r="I14">
        <v>1</v>
      </c>
    </row>
    <row r="15" spans="1:16" x14ac:dyDescent="0.25">
      <c r="A15" s="2">
        <v>13</v>
      </c>
      <c r="B15" s="5" t="s">
        <v>13</v>
      </c>
      <c r="I15">
        <v>1</v>
      </c>
    </row>
    <row r="16" spans="1:16" x14ac:dyDescent="0.25">
      <c r="A16" s="2">
        <v>14</v>
      </c>
      <c r="B16" s="5" t="s">
        <v>14</v>
      </c>
      <c r="K16">
        <v>1</v>
      </c>
    </row>
    <row r="17" spans="1:15" ht="15" customHeight="1" x14ac:dyDescent="0.25">
      <c r="A17" s="2">
        <v>15</v>
      </c>
      <c r="B17" s="5" t="s">
        <v>15</v>
      </c>
      <c r="L17">
        <v>1</v>
      </c>
    </row>
    <row r="18" spans="1:15" x14ac:dyDescent="0.25">
      <c r="A18" s="2">
        <v>16</v>
      </c>
      <c r="B18" s="5" t="s">
        <v>16</v>
      </c>
      <c r="L18">
        <v>1</v>
      </c>
    </row>
    <row r="19" spans="1:15" x14ac:dyDescent="0.25">
      <c r="A19" s="2">
        <v>17</v>
      </c>
      <c r="B19" s="5" t="s">
        <v>17</v>
      </c>
      <c r="F19">
        <v>1</v>
      </c>
    </row>
    <row r="20" spans="1:15" x14ac:dyDescent="0.25">
      <c r="A20" s="2">
        <v>18</v>
      </c>
      <c r="B20" s="5" t="s">
        <v>18</v>
      </c>
      <c r="F20">
        <v>1</v>
      </c>
    </row>
    <row r="21" spans="1:15" ht="15.75" customHeight="1" x14ac:dyDescent="0.25">
      <c r="A21" s="2">
        <v>19</v>
      </c>
      <c r="B21" s="5" t="s">
        <v>19</v>
      </c>
      <c r="E21">
        <v>1</v>
      </c>
    </row>
    <row r="22" spans="1:15" ht="15.75" customHeight="1" x14ac:dyDescent="0.25">
      <c r="A22" s="2">
        <v>20</v>
      </c>
      <c r="B22" s="5" t="s">
        <v>20</v>
      </c>
      <c r="G22">
        <v>1</v>
      </c>
    </row>
    <row r="23" spans="1:15" ht="15.75" customHeight="1" x14ac:dyDescent="0.25">
      <c r="A23" s="2">
        <v>21</v>
      </c>
      <c r="B23" s="24" t="s">
        <v>21</v>
      </c>
      <c r="K23">
        <v>1</v>
      </c>
    </row>
    <row r="24" spans="1:15" ht="15.75" customHeight="1" x14ac:dyDescent="0.25">
      <c r="A24" s="2"/>
      <c r="B24" s="46" t="s">
        <v>138</v>
      </c>
      <c r="C24" s="46"/>
      <c r="D24" s="46"/>
      <c r="E24" s="46"/>
      <c r="F24" s="46"/>
      <c r="G24" s="46"/>
      <c r="H24" s="46"/>
      <c r="I24" s="46"/>
      <c r="J24" s="46"/>
      <c r="K24" s="46"/>
      <c r="L24" s="46"/>
      <c r="M24" s="25"/>
    </row>
    <row r="25" spans="1:15" ht="15.75" customHeight="1" x14ac:dyDescent="0.25">
      <c r="A25" s="2">
        <v>22</v>
      </c>
      <c r="B25" s="5" t="s">
        <v>22</v>
      </c>
      <c r="F25">
        <v>1</v>
      </c>
    </row>
    <row r="26" spans="1:15" ht="15.75" customHeight="1" x14ac:dyDescent="0.25"/>
    <row r="27" spans="1:15" ht="15.75" customHeight="1" x14ac:dyDescent="0.25">
      <c r="B27" s="47" t="s">
        <v>139</v>
      </c>
      <c r="C27" s="47"/>
      <c r="D27" s="47"/>
      <c r="E27" s="47"/>
      <c r="F27" s="47"/>
      <c r="G27" s="47"/>
      <c r="H27" s="47"/>
      <c r="I27" s="47"/>
      <c r="J27" s="47"/>
      <c r="K27" s="47"/>
      <c r="L27" s="47"/>
      <c r="M27" s="47"/>
      <c r="N27" s="47"/>
      <c r="O27" s="47"/>
    </row>
    <row r="28" spans="1:15" ht="15.75" customHeight="1" x14ac:dyDescent="0.25">
      <c r="B28" s="47"/>
      <c r="C28" s="47"/>
      <c r="D28" s="47"/>
      <c r="E28" s="47"/>
      <c r="F28" s="47"/>
      <c r="G28" s="47"/>
      <c r="H28" s="47"/>
      <c r="I28" s="47"/>
      <c r="J28" s="47"/>
      <c r="K28" s="47"/>
      <c r="L28" s="47"/>
      <c r="M28" s="47"/>
      <c r="N28" s="47"/>
      <c r="O28" s="47"/>
    </row>
    <row r="29" spans="1:15" ht="15.75" customHeight="1" x14ac:dyDescent="0.25">
      <c r="B29" s="47"/>
      <c r="C29" s="47"/>
      <c r="D29" s="47"/>
      <c r="E29" s="47"/>
      <c r="F29" s="47"/>
      <c r="G29" s="47"/>
      <c r="H29" s="47"/>
      <c r="I29" s="47"/>
      <c r="J29" s="47"/>
      <c r="K29" s="47"/>
      <c r="L29" s="47"/>
      <c r="M29" s="47"/>
      <c r="N29" s="47"/>
      <c r="O29" s="47"/>
    </row>
    <row r="30" spans="1:15" ht="15.75" customHeight="1" x14ac:dyDescent="0.25">
      <c r="B30" s="47"/>
      <c r="C30" s="47"/>
      <c r="D30" s="47"/>
      <c r="E30" s="47"/>
      <c r="F30" s="47"/>
      <c r="G30" s="47"/>
      <c r="H30" s="47"/>
      <c r="I30" s="47"/>
      <c r="J30" s="47"/>
      <c r="K30" s="47"/>
      <c r="L30" s="47"/>
      <c r="M30" s="47"/>
      <c r="N30" s="47"/>
      <c r="O30" s="47"/>
    </row>
    <row r="31" spans="1:15" ht="15.75" customHeight="1" x14ac:dyDescent="0.25">
      <c r="B31" s="47"/>
      <c r="C31" s="47"/>
      <c r="D31" s="47"/>
      <c r="E31" s="47"/>
      <c r="F31" s="47"/>
      <c r="G31" s="47"/>
      <c r="H31" s="47"/>
      <c r="I31" s="47"/>
      <c r="J31" s="47"/>
      <c r="K31" s="47"/>
      <c r="L31" s="47"/>
      <c r="M31" s="47"/>
      <c r="N31" s="47"/>
      <c r="O31" s="47"/>
    </row>
    <row r="32" spans="1:15" ht="15.75" customHeight="1" x14ac:dyDescent="0.25">
      <c r="B32" s="47"/>
      <c r="C32" s="47"/>
      <c r="D32" s="47"/>
      <c r="E32" s="47"/>
      <c r="F32" s="47"/>
      <c r="G32" s="47"/>
      <c r="H32" s="47"/>
      <c r="I32" s="47"/>
      <c r="J32" s="47"/>
      <c r="K32" s="47"/>
      <c r="L32" s="47"/>
      <c r="M32" s="47"/>
      <c r="N32" s="47"/>
      <c r="O32" s="47"/>
    </row>
    <row r="33" spans="2:15" ht="15.75" customHeight="1" x14ac:dyDescent="0.25">
      <c r="B33" s="47"/>
      <c r="C33" s="47"/>
      <c r="D33" s="47"/>
      <c r="E33" s="47"/>
      <c r="F33" s="47"/>
      <c r="G33" s="47"/>
      <c r="H33" s="47"/>
      <c r="I33" s="47"/>
      <c r="J33" s="47"/>
      <c r="K33" s="47"/>
      <c r="L33" s="47"/>
      <c r="M33" s="47"/>
      <c r="N33" s="47"/>
      <c r="O33" s="47"/>
    </row>
    <row r="34" spans="2:15" ht="15.75" customHeight="1" x14ac:dyDescent="0.25">
      <c r="B34" s="47"/>
      <c r="C34" s="47"/>
      <c r="D34" s="47"/>
      <c r="E34" s="47"/>
      <c r="F34" s="47"/>
      <c r="G34" s="47"/>
      <c r="H34" s="47"/>
      <c r="I34" s="47"/>
      <c r="J34" s="47"/>
      <c r="K34" s="47"/>
      <c r="L34" s="47"/>
      <c r="M34" s="47"/>
      <c r="N34" s="47"/>
      <c r="O34" s="47"/>
    </row>
    <row r="35" spans="2:15" ht="15.75" customHeight="1" x14ac:dyDescent="0.25">
      <c r="B35" s="47"/>
      <c r="C35" s="47"/>
      <c r="D35" s="47"/>
      <c r="E35" s="47"/>
      <c r="F35" s="47"/>
      <c r="G35" s="47"/>
      <c r="H35" s="47"/>
      <c r="I35" s="47"/>
      <c r="J35" s="47"/>
      <c r="K35" s="47"/>
      <c r="L35" s="47"/>
      <c r="M35" s="47"/>
      <c r="N35" s="47"/>
      <c r="O35" s="47"/>
    </row>
    <row r="36" spans="2:15" ht="15.75" customHeight="1" x14ac:dyDescent="0.25">
      <c r="B36" s="47"/>
      <c r="C36" s="47"/>
      <c r="D36" s="47"/>
      <c r="E36" s="47"/>
      <c r="F36" s="47"/>
      <c r="G36" s="47"/>
      <c r="H36" s="47"/>
      <c r="I36" s="47"/>
      <c r="J36" s="47"/>
      <c r="K36" s="47"/>
      <c r="L36" s="47"/>
      <c r="M36" s="47"/>
      <c r="N36" s="47"/>
      <c r="O36" s="47"/>
    </row>
    <row r="37" spans="2:15" ht="15.75" customHeight="1" x14ac:dyDescent="0.25">
      <c r="B37" s="47"/>
      <c r="C37" s="47"/>
      <c r="D37" s="47"/>
      <c r="E37" s="47"/>
      <c r="F37" s="47"/>
      <c r="G37" s="47"/>
      <c r="H37" s="47"/>
      <c r="I37" s="47"/>
      <c r="J37" s="47"/>
      <c r="K37" s="47"/>
      <c r="L37" s="47"/>
      <c r="M37" s="47"/>
      <c r="N37" s="47"/>
      <c r="O37" s="47"/>
    </row>
    <row r="38" spans="2:15" ht="15.75" customHeight="1" x14ac:dyDescent="0.25">
      <c r="B38" s="47"/>
      <c r="C38" s="47"/>
      <c r="D38" s="47"/>
      <c r="E38" s="47"/>
      <c r="F38" s="47"/>
      <c r="G38" s="47"/>
      <c r="H38" s="47"/>
      <c r="I38" s="47"/>
      <c r="J38" s="47"/>
      <c r="K38" s="47"/>
      <c r="L38" s="47"/>
      <c r="M38" s="47"/>
      <c r="N38" s="47"/>
      <c r="O38" s="47"/>
    </row>
    <row r="39" spans="2:15" ht="15.75" customHeight="1" x14ac:dyDescent="0.25">
      <c r="B39" s="47"/>
      <c r="C39" s="47"/>
      <c r="D39" s="47"/>
      <c r="E39" s="47"/>
      <c r="F39" s="47"/>
      <c r="G39" s="47"/>
      <c r="H39" s="47"/>
      <c r="I39" s="47"/>
      <c r="J39" s="47"/>
      <c r="K39" s="47"/>
      <c r="L39" s="47"/>
      <c r="M39" s="47"/>
      <c r="N39" s="47"/>
      <c r="O39" s="47"/>
    </row>
    <row r="40" spans="2:15" ht="15.75" customHeight="1" x14ac:dyDescent="0.25">
      <c r="B40" s="47"/>
      <c r="C40" s="47"/>
      <c r="D40" s="47"/>
      <c r="E40" s="47"/>
      <c r="F40" s="47"/>
      <c r="G40" s="47"/>
      <c r="H40" s="47"/>
      <c r="I40" s="47"/>
      <c r="J40" s="47"/>
      <c r="K40" s="47"/>
      <c r="L40" s="47"/>
      <c r="M40" s="47"/>
      <c r="N40" s="47"/>
      <c r="O40" s="47"/>
    </row>
    <row r="41" spans="2:15" ht="15.75" customHeight="1" x14ac:dyDescent="0.25">
      <c r="B41" s="47"/>
      <c r="C41" s="47"/>
      <c r="D41" s="47"/>
      <c r="E41" s="47"/>
      <c r="F41" s="47"/>
      <c r="G41" s="47"/>
      <c r="H41" s="47"/>
      <c r="I41" s="47"/>
      <c r="J41" s="47"/>
      <c r="K41" s="47"/>
      <c r="L41" s="47"/>
      <c r="M41" s="47"/>
      <c r="N41" s="47"/>
      <c r="O41" s="47"/>
    </row>
    <row r="42" spans="2:15" ht="15.75" customHeight="1" x14ac:dyDescent="0.25">
      <c r="B42" s="47"/>
      <c r="C42" s="47"/>
      <c r="D42" s="47"/>
      <c r="E42" s="47"/>
      <c r="F42" s="47"/>
      <c r="G42" s="47"/>
      <c r="H42" s="47"/>
      <c r="I42" s="47"/>
      <c r="J42" s="47"/>
      <c r="K42" s="47"/>
      <c r="L42" s="47"/>
      <c r="M42" s="47"/>
      <c r="N42" s="47"/>
      <c r="O42" s="47"/>
    </row>
    <row r="43" spans="2:15" ht="15.75" customHeight="1" x14ac:dyDescent="0.25">
      <c r="B43" s="47"/>
      <c r="C43" s="47"/>
      <c r="D43" s="47"/>
      <c r="E43" s="47"/>
      <c r="F43" s="47"/>
      <c r="G43" s="47"/>
      <c r="H43" s="47"/>
      <c r="I43" s="47"/>
      <c r="J43" s="47"/>
      <c r="K43" s="47"/>
      <c r="L43" s="47"/>
      <c r="M43" s="47"/>
      <c r="N43" s="47"/>
      <c r="O43" s="47"/>
    </row>
    <row r="44" spans="2:15" ht="15.75" customHeight="1" x14ac:dyDescent="0.25">
      <c r="B44" s="47"/>
      <c r="C44" s="47"/>
      <c r="D44" s="47"/>
      <c r="E44" s="47"/>
      <c r="F44" s="47"/>
      <c r="G44" s="47"/>
      <c r="H44" s="47"/>
      <c r="I44" s="47"/>
      <c r="J44" s="47"/>
      <c r="K44" s="47"/>
      <c r="L44" s="47"/>
      <c r="M44" s="47"/>
      <c r="N44" s="47"/>
      <c r="O44" s="47"/>
    </row>
    <row r="45" spans="2:15" ht="15.75" customHeight="1" x14ac:dyDescent="0.25">
      <c r="B45" s="47"/>
      <c r="C45" s="47"/>
      <c r="D45" s="47"/>
      <c r="E45" s="47"/>
      <c r="F45" s="47"/>
      <c r="G45" s="47"/>
      <c r="H45" s="47"/>
      <c r="I45" s="47"/>
      <c r="J45" s="47"/>
      <c r="K45" s="47"/>
      <c r="L45" s="47"/>
      <c r="M45" s="47"/>
      <c r="N45" s="47"/>
      <c r="O45" s="47"/>
    </row>
    <row r="46" spans="2:15" ht="15.75" customHeight="1" x14ac:dyDescent="0.25"/>
    <row r="47" spans="2:15" ht="15.75" customHeight="1" x14ac:dyDescent="0.25"/>
    <row r="48" spans="2: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5">
    <mergeCell ref="B27:O45"/>
    <mergeCell ref="H3:K3"/>
    <mergeCell ref="M3:P3"/>
    <mergeCell ref="C1:D1"/>
    <mergeCell ref="G1:H1"/>
  </mergeCells>
  <pageMargins left="0.7" right="0.7" top="0.75" bottom="0.75" header="0" footer="0"/>
  <pageSetup paperSize="9" orientation="portrait"/>
  <legacyDrawing r:id="rId1"/>
  <extLst>
    <ext xmlns:x14="http://schemas.microsoft.com/office/spreadsheetml/2009/9/main" uri="{78C0D931-6437-407d-A8EE-F0AAD7539E65}">
      <x14:conditionalFormattings>
        <x14:conditionalFormatting xmlns:xm="http://schemas.microsoft.com/office/excel/2006/main">
          <x14:cfRule type="iconSet" priority="1" id="{D6EB45EF-AA58-4654-A3DA-479CD5AB5E2F}">
            <x14:iconSet iconSet="3Symbols" showValue="0" custom="1">
              <x14:cfvo type="percent">
                <xm:f>0</xm:f>
              </x14:cfvo>
              <x14:cfvo type="num">
                <xm:f>0</xm:f>
              </x14:cfvo>
              <x14:cfvo type="num">
                <xm:f>1</xm:f>
              </x14:cfvo>
              <x14:cfIcon iconSet="NoIcons" iconId="0"/>
              <x14:cfIcon iconSet="3Symbols" iconId="0"/>
              <x14:cfIcon iconSet="3Symbols" iconId="2"/>
            </x14:iconSet>
          </x14:cfRule>
          <xm:sqref>L17:L18 I5 E1 I1 G3 F4 M6 I7 P8 M9 J10 F11 G12 M13 I14:I15 K16 F19:F20 E21 G22 K23 F25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0"/>
  <sheetViews>
    <sheetView tabSelected="1" topLeftCell="I52" workbookViewId="0">
      <selection activeCell="O57" sqref="O57"/>
    </sheetView>
  </sheetViews>
  <sheetFormatPr baseColWidth="10" defaultColWidth="12.5703125" defaultRowHeight="15" customHeight="1" x14ac:dyDescent="0.25"/>
  <cols>
    <col min="1" max="1" width="10.5703125" customWidth="1"/>
    <col min="2" max="2" width="33" customWidth="1"/>
    <col min="3" max="3" width="8.140625" bestFit="1" customWidth="1"/>
    <col min="4" max="4" width="10.5703125" customWidth="1"/>
    <col min="5" max="5" width="15.5703125" bestFit="1" customWidth="1"/>
    <col min="6" max="6" width="11.42578125" bestFit="1" customWidth="1"/>
    <col min="7" max="7" width="13.140625" customWidth="1"/>
    <col min="8" max="8" width="11.7109375" bestFit="1" customWidth="1"/>
    <col min="9" max="10" width="11.42578125" bestFit="1" customWidth="1"/>
    <col min="11" max="11" width="19.42578125" customWidth="1"/>
    <col min="12" max="12" width="15" bestFit="1" customWidth="1"/>
    <col min="13" max="13" width="10.5703125" customWidth="1"/>
    <col min="14" max="14" width="34.5703125" bestFit="1" customWidth="1"/>
    <col min="15" max="15" width="16.42578125" bestFit="1" customWidth="1"/>
    <col min="16" max="16" width="16.5703125" bestFit="1" customWidth="1"/>
    <col min="17" max="26" width="10.5703125" customWidth="1"/>
  </cols>
  <sheetData>
    <row r="1" spans="1:18" ht="15.75" x14ac:dyDescent="0.25">
      <c r="B1" s="6" t="s">
        <v>23</v>
      </c>
    </row>
    <row r="2" spans="1:18" ht="15" customHeight="1" x14ac:dyDescent="0.25">
      <c r="R2" s="24"/>
    </row>
    <row r="3" spans="1:18" ht="16.5" customHeight="1" x14ac:dyDescent="0.25">
      <c r="A3" s="7" t="s">
        <v>24</v>
      </c>
      <c r="B3" s="7" t="s">
        <v>25</v>
      </c>
      <c r="C3" s="7" t="s">
        <v>26</v>
      </c>
      <c r="D3" s="7" t="s">
        <v>27</v>
      </c>
      <c r="E3" s="27" t="s">
        <v>28</v>
      </c>
      <c r="F3" s="7" t="s">
        <v>29</v>
      </c>
      <c r="G3" s="7" t="s">
        <v>30</v>
      </c>
      <c r="H3" s="7" t="s">
        <v>31</v>
      </c>
      <c r="I3" s="7" t="s">
        <v>32</v>
      </c>
      <c r="J3" s="7" t="s">
        <v>33</v>
      </c>
      <c r="K3" s="8" t="s">
        <v>34</v>
      </c>
      <c r="L3" s="8" t="s">
        <v>35</v>
      </c>
      <c r="N3" s="9" t="s">
        <v>36</v>
      </c>
      <c r="O3" s="10"/>
    </row>
    <row r="4" spans="1:18" x14ac:dyDescent="0.25">
      <c r="A4" s="11">
        <v>24154200</v>
      </c>
      <c r="B4" s="12" t="s">
        <v>37</v>
      </c>
      <c r="C4" s="11" t="s">
        <v>38</v>
      </c>
      <c r="D4" s="26">
        <v>1</v>
      </c>
      <c r="E4" s="28">
        <f>G4+F4</f>
        <v>315000</v>
      </c>
      <c r="F4" s="20">
        <f>G4 * (HLOOKUP(C4,$N$14:$P$15,2,FALSE))</f>
        <v>15000</v>
      </c>
      <c r="G4" s="13">
        <f t="shared" ref="G4:G35" si="0">VLOOKUP(D4,$N$5:$O$11,2,FALSE)</f>
        <v>300000</v>
      </c>
      <c r="H4" s="13">
        <f>G4 * $N$19</f>
        <v>33000</v>
      </c>
      <c r="I4" s="13">
        <f>G4 * $O$19</f>
        <v>9000</v>
      </c>
      <c r="J4" s="13">
        <f>G4 * $P$19</f>
        <v>9000</v>
      </c>
      <c r="K4" s="13">
        <f>H4+I4+J4</f>
        <v>51000</v>
      </c>
      <c r="L4" s="13">
        <f>E4-K4</f>
        <v>264000</v>
      </c>
      <c r="N4" s="9" t="s">
        <v>39</v>
      </c>
      <c r="O4" s="9" t="s">
        <v>30</v>
      </c>
    </row>
    <row r="5" spans="1:18" x14ac:dyDescent="0.25">
      <c r="A5" s="11">
        <v>25263065</v>
      </c>
      <c r="B5" s="12" t="s">
        <v>40</v>
      </c>
      <c r="C5" s="11" t="s">
        <v>38</v>
      </c>
      <c r="D5" s="26">
        <v>1</v>
      </c>
      <c r="E5" s="28">
        <f t="shared" ref="E5:E56" si="1">G5+F5</f>
        <v>315000</v>
      </c>
      <c r="F5" s="20">
        <f t="shared" ref="F5:F56" si="2">G5 * (HLOOKUP(C5,$N$14:$P$15,2,FALSE))</f>
        <v>15000</v>
      </c>
      <c r="G5" s="13">
        <f t="shared" si="0"/>
        <v>300000</v>
      </c>
      <c r="H5" s="13">
        <f t="shared" ref="H5:H56" si="3">G5 * $N$19</f>
        <v>33000</v>
      </c>
      <c r="I5" s="13">
        <f t="shared" ref="I5:I56" si="4">G5 * $O$19</f>
        <v>9000</v>
      </c>
      <c r="J5" s="13">
        <f t="shared" ref="J5:J56" si="5">G5 * $P$19</f>
        <v>9000</v>
      </c>
      <c r="K5" s="13">
        <f t="shared" ref="K5:K56" si="6">H5+I5+J5</f>
        <v>51000</v>
      </c>
      <c r="L5" s="13">
        <f t="shared" ref="L5:L56" si="7">E5-K5</f>
        <v>264000</v>
      </c>
      <c r="N5" s="11">
        <v>1</v>
      </c>
      <c r="O5" s="14">
        <v>300000</v>
      </c>
    </row>
    <row r="6" spans="1:18" x14ac:dyDescent="0.25">
      <c r="A6" s="11">
        <v>25422803</v>
      </c>
      <c r="B6" s="12" t="s">
        <v>41</v>
      </c>
      <c r="C6" s="11" t="s">
        <v>42</v>
      </c>
      <c r="D6" s="26">
        <v>1</v>
      </c>
      <c r="E6" s="28">
        <f t="shared" si="1"/>
        <v>330000</v>
      </c>
      <c r="F6" s="20">
        <f t="shared" si="2"/>
        <v>30000</v>
      </c>
      <c r="G6" s="13">
        <f t="shared" si="0"/>
        <v>300000</v>
      </c>
      <c r="H6" s="13">
        <f t="shared" si="3"/>
        <v>33000</v>
      </c>
      <c r="I6" s="13">
        <f t="shared" si="4"/>
        <v>9000</v>
      </c>
      <c r="J6" s="13">
        <f t="shared" si="5"/>
        <v>9000</v>
      </c>
      <c r="K6" s="13">
        <f t="shared" si="6"/>
        <v>51000</v>
      </c>
      <c r="L6" s="13">
        <f t="shared" si="7"/>
        <v>279000</v>
      </c>
      <c r="N6" s="11">
        <v>2</v>
      </c>
      <c r="O6" s="14">
        <v>310000</v>
      </c>
    </row>
    <row r="7" spans="1:18" x14ac:dyDescent="0.25">
      <c r="A7" s="11">
        <v>26359063</v>
      </c>
      <c r="B7" s="12" t="s">
        <v>43</v>
      </c>
      <c r="C7" s="11" t="s">
        <v>42</v>
      </c>
      <c r="D7" s="26">
        <v>1</v>
      </c>
      <c r="E7" s="28">
        <f t="shared" si="1"/>
        <v>330000</v>
      </c>
      <c r="F7" s="20">
        <f t="shared" si="2"/>
        <v>30000</v>
      </c>
      <c r="G7" s="13">
        <f t="shared" si="0"/>
        <v>300000</v>
      </c>
      <c r="H7" s="13">
        <f t="shared" si="3"/>
        <v>33000</v>
      </c>
      <c r="I7" s="13">
        <f t="shared" si="4"/>
        <v>9000</v>
      </c>
      <c r="J7" s="13">
        <f t="shared" si="5"/>
        <v>9000</v>
      </c>
      <c r="K7" s="13">
        <f t="shared" si="6"/>
        <v>51000</v>
      </c>
      <c r="L7" s="13">
        <f t="shared" si="7"/>
        <v>279000</v>
      </c>
      <c r="N7" s="11">
        <v>3</v>
      </c>
      <c r="O7" s="14">
        <v>320000</v>
      </c>
    </row>
    <row r="8" spans="1:18" x14ac:dyDescent="0.25">
      <c r="A8" s="11">
        <v>25684632</v>
      </c>
      <c r="B8" s="12" t="s">
        <v>44</v>
      </c>
      <c r="C8" s="11" t="s">
        <v>38</v>
      </c>
      <c r="D8" s="26">
        <v>2</v>
      </c>
      <c r="E8" s="28">
        <f t="shared" si="1"/>
        <v>325500</v>
      </c>
      <c r="F8" s="20">
        <f t="shared" si="2"/>
        <v>15500</v>
      </c>
      <c r="G8" s="13">
        <f t="shared" si="0"/>
        <v>310000</v>
      </c>
      <c r="H8" s="13">
        <f t="shared" si="3"/>
        <v>34100</v>
      </c>
      <c r="I8" s="13">
        <f t="shared" si="4"/>
        <v>9300</v>
      </c>
      <c r="J8" s="13">
        <f t="shared" si="5"/>
        <v>9300</v>
      </c>
      <c r="K8" s="13">
        <f t="shared" si="6"/>
        <v>52700</v>
      </c>
      <c r="L8" s="13">
        <f t="shared" si="7"/>
        <v>272800</v>
      </c>
      <c r="N8" s="11">
        <v>4</v>
      </c>
      <c r="O8" s="14">
        <v>315000</v>
      </c>
    </row>
    <row r="9" spans="1:18" x14ac:dyDescent="0.25">
      <c r="A9" s="11">
        <v>25318195</v>
      </c>
      <c r="B9" s="12" t="s">
        <v>45</v>
      </c>
      <c r="C9" s="11" t="s">
        <v>38</v>
      </c>
      <c r="D9" s="26">
        <v>2</v>
      </c>
      <c r="E9" s="28">
        <f t="shared" si="1"/>
        <v>325500</v>
      </c>
      <c r="F9" s="20">
        <f t="shared" si="2"/>
        <v>15500</v>
      </c>
      <c r="G9" s="13">
        <f t="shared" si="0"/>
        <v>310000</v>
      </c>
      <c r="H9" s="13">
        <f t="shared" si="3"/>
        <v>34100</v>
      </c>
      <c r="I9" s="13">
        <f t="shared" si="4"/>
        <v>9300</v>
      </c>
      <c r="J9" s="13">
        <f t="shared" si="5"/>
        <v>9300</v>
      </c>
      <c r="K9" s="13">
        <f t="shared" si="6"/>
        <v>52700</v>
      </c>
      <c r="L9" s="13">
        <f t="shared" si="7"/>
        <v>272800</v>
      </c>
      <c r="N9" s="11">
        <v>5</v>
      </c>
      <c r="O9" s="14">
        <v>350000</v>
      </c>
    </row>
    <row r="10" spans="1:18" x14ac:dyDescent="0.25">
      <c r="A10" s="11">
        <v>11870150</v>
      </c>
      <c r="B10" s="12" t="s">
        <v>46</v>
      </c>
      <c r="C10" s="11" t="s">
        <v>42</v>
      </c>
      <c r="D10" s="26">
        <v>2</v>
      </c>
      <c r="E10" s="28">
        <f t="shared" si="1"/>
        <v>341000</v>
      </c>
      <c r="F10" s="20">
        <f t="shared" si="2"/>
        <v>31000</v>
      </c>
      <c r="G10" s="13">
        <f t="shared" si="0"/>
        <v>310000</v>
      </c>
      <c r="H10" s="13">
        <f t="shared" si="3"/>
        <v>34100</v>
      </c>
      <c r="I10" s="13">
        <f t="shared" si="4"/>
        <v>9300</v>
      </c>
      <c r="J10" s="13">
        <f t="shared" si="5"/>
        <v>9300</v>
      </c>
      <c r="K10" s="13">
        <f t="shared" si="6"/>
        <v>52700</v>
      </c>
      <c r="L10" s="13">
        <f t="shared" si="7"/>
        <v>288300</v>
      </c>
      <c r="N10" s="11">
        <v>6</v>
      </c>
      <c r="O10" s="14">
        <v>390000</v>
      </c>
    </row>
    <row r="11" spans="1:18" x14ac:dyDescent="0.25">
      <c r="A11" s="11">
        <v>22853827</v>
      </c>
      <c r="B11" s="12" t="s">
        <v>47</v>
      </c>
      <c r="C11" s="11" t="s">
        <v>48</v>
      </c>
      <c r="D11" s="26">
        <v>2</v>
      </c>
      <c r="E11" s="28">
        <f t="shared" si="1"/>
        <v>316200</v>
      </c>
      <c r="F11" s="20">
        <f t="shared" si="2"/>
        <v>6200</v>
      </c>
      <c r="G11" s="13">
        <f t="shared" si="0"/>
        <v>310000</v>
      </c>
      <c r="H11" s="13">
        <f t="shared" si="3"/>
        <v>34100</v>
      </c>
      <c r="I11" s="13">
        <f t="shared" si="4"/>
        <v>9300</v>
      </c>
      <c r="J11" s="13">
        <f t="shared" si="5"/>
        <v>9300</v>
      </c>
      <c r="K11" s="13">
        <f t="shared" si="6"/>
        <v>52700</v>
      </c>
      <c r="L11" s="13">
        <f t="shared" si="7"/>
        <v>263500</v>
      </c>
      <c r="N11" s="11">
        <v>7</v>
      </c>
      <c r="O11" s="14">
        <v>490000</v>
      </c>
    </row>
    <row r="12" spans="1:18" x14ac:dyDescent="0.25">
      <c r="A12" s="11">
        <v>26326103</v>
      </c>
      <c r="B12" s="12" t="s">
        <v>49</v>
      </c>
      <c r="C12" s="11" t="s">
        <v>38</v>
      </c>
      <c r="D12" s="26">
        <v>3</v>
      </c>
      <c r="E12" s="28">
        <f t="shared" si="1"/>
        <v>336000</v>
      </c>
      <c r="F12" s="20">
        <f t="shared" si="2"/>
        <v>16000</v>
      </c>
      <c r="G12" s="13">
        <f t="shared" si="0"/>
        <v>320000</v>
      </c>
      <c r="H12" s="13">
        <f t="shared" si="3"/>
        <v>35200</v>
      </c>
      <c r="I12" s="13">
        <f t="shared" si="4"/>
        <v>9600</v>
      </c>
      <c r="J12" s="13">
        <f t="shared" si="5"/>
        <v>9600</v>
      </c>
      <c r="K12" s="13">
        <f t="shared" si="6"/>
        <v>54400</v>
      </c>
      <c r="L12" s="13">
        <f t="shared" si="7"/>
        <v>281600</v>
      </c>
    </row>
    <row r="13" spans="1:18" x14ac:dyDescent="0.25">
      <c r="A13" s="11">
        <v>24997785</v>
      </c>
      <c r="B13" s="12" t="s">
        <v>50</v>
      </c>
      <c r="C13" s="11" t="s">
        <v>38</v>
      </c>
      <c r="D13" s="26">
        <v>3</v>
      </c>
      <c r="E13" s="28">
        <f t="shared" si="1"/>
        <v>336000</v>
      </c>
      <c r="F13" s="20">
        <f t="shared" si="2"/>
        <v>16000</v>
      </c>
      <c r="G13" s="13">
        <f t="shared" si="0"/>
        <v>320000</v>
      </c>
      <c r="H13" s="13">
        <f t="shared" si="3"/>
        <v>35200</v>
      </c>
      <c r="I13" s="13">
        <f t="shared" si="4"/>
        <v>9600</v>
      </c>
      <c r="J13" s="13">
        <f t="shared" si="5"/>
        <v>9600</v>
      </c>
      <c r="K13" s="13">
        <f t="shared" si="6"/>
        <v>54400</v>
      </c>
      <c r="L13" s="13">
        <f t="shared" si="7"/>
        <v>281600</v>
      </c>
      <c r="N13" s="15" t="s">
        <v>51</v>
      </c>
      <c r="O13" s="2"/>
      <c r="P13" s="2"/>
    </row>
    <row r="14" spans="1:18" x14ac:dyDescent="0.25">
      <c r="A14" s="11">
        <v>26463951</v>
      </c>
      <c r="B14" s="12" t="s">
        <v>52</v>
      </c>
      <c r="C14" s="11" t="s">
        <v>38</v>
      </c>
      <c r="D14" s="26">
        <v>3</v>
      </c>
      <c r="E14" s="28">
        <f t="shared" si="1"/>
        <v>336000</v>
      </c>
      <c r="F14" s="20">
        <f t="shared" si="2"/>
        <v>16000</v>
      </c>
      <c r="G14" s="13">
        <f t="shared" si="0"/>
        <v>320000</v>
      </c>
      <c r="H14" s="13">
        <f t="shared" si="3"/>
        <v>35200</v>
      </c>
      <c r="I14" s="13">
        <f t="shared" si="4"/>
        <v>9600</v>
      </c>
      <c r="J14" s="13">
        <f t="shared" si="5"/>
        <v>9600</v>
      </c>
      <c r="K14" s="13">
        <f t="shared" si="6"/>
        <v>54400</v>
      </c>
      <c r="L14" s="13">
        <f t="shared" si="7"/>
        <v>281600</v>
      </c>
      <c r="N14" s="9" t="s">
        <v>38</v>
      </c>
      <c r="O14" s="9" t="s">
        <v>48</v>
      </c>
      <c r="P14" s="9" t="s">
        <v>42</v>
      </c>
    </row>
    <row r="15" spans="1:18" x14ac:dyDescent="0.25">
      <c r="A15" s="11">
        <v>25855253</v>
      </c>
      <c r="B15" s="12" t="s">
        <v>53</v>
      </c>
      <c r="C15" s="11" t="s">
        <v>38</v>
      </c>
      <c r="D15" s="26">
        <v>3</v>
      </c>
      <c r="E15" s="28">
        <f t="shared" si="1"/>
        <v>336000</v>
      </c>
      <c r="F15" s="20">
        <f t="shared" si="2"/>
        <v>16000</v>
      </c>
      <c r="G15" s="13">
        <f t="shared" si="0"/>
        <v>320000</v>
      </c>
      <c r="H15" s="13">
        <f t="shared" si="3"/>
        <v>35200</v>
      </c>
      <c r="I15" s="13">
        <f t="shared" si="4"/>
        <v>9600</v>
      </c>
      <c r="J15" s="13">
        <f t="shared" si="5"/>
        <v>9600</v>
      </c>
      <c r="K15" s="13">
        <f t="shared" si="6"/>
        <v>54400</v>
      </c>
      <c r="L15" s="13">
        <f t="shared" si="7"/>
        <v>281600</v>
      </c>
      <c r="N15" s="16">
        <v>0.05</v>
      </c>
      <c r="O15" s="16">
        <v>0.02</v>
      </c>
      <c r="P15" s="16">
        <v>0.1</v>
      </c>
    </row>
    <row r="16" spans="1:18" x14ac:dyDescent="0.25">
      <c r="A16" s="11">
        <v>26023269</v>
      </c>
      <c r="B16" s="12" t="s">
        <v>54</v>
      </c>
      <c r="C16" s="11" t="s">
        <v>38</v>
      </c>
      <c r="D16" s="26">
        <v>3</v>
      </c>
      <c r="E16" s="28">
        <f t="shared" si="1"/>
        <v>336000</v>
      </c>
      <c r="F16" s="20">
        <f t="shared" si="2"/>
        <v>16000</v>
      </c>
      <c r="G16" s="13">
        <f t="shared" si="0"/>
        <v>320000</v>
      </c>
      <c r="H16" s="13">
        <f t="shared" si="3"/>
        <v>35200</v>
      </c>
      <c r="I16" s="13">
        <f t="shared" si="4"/>
        <v>9600</v>
      </c>
      <c r="J16" s="13">
        <f t="shared" si="5"/>
        <v>9600</v>
      </c>
      <c r="K16" s="13">
        <f t="shared" si="6"/>
        <v>54400</v>
      </c>
      <c r="L16" s="13">
        <f t="shared" si="7"/>
        <v>281600</v>
      </c>
    </row>
    <row r="17" spans="1:16" x14ac:dyDescent="0.25">
      <c r="A17" s="11">
        <v>25866585</v>
      </c>
      <c r="B17" s="12" t="s">
        <v>55</v>
      </c>
      <c r="C17" s="11" t="s">
        <v>42</v>
      </c>
      <c r="D17" s="26">
        <v>3</v>
      </c>
      <c r="E17" s="28">
        <f t="shared" si="1"/>
        <v>352000</v>
      </c>
      <c r="F17" s="20">
        <f t="shared" si="2"/>
        <v>32000</v>
      </c>
      <c r="G17" s="13">
        <f t="shared" si="0"/>
        <v>320000</v>
      </c>
      <c r="H17" s="13">
        <f t="shared" si="3"/>
        <v>35200</v>
      </c>
      <c r="I17" s="13">
        <f t="shared" si="4"/>
        <v>9600</v>
      </c>
      <c r="J17" s="13">
        <f t="shared" si="5"/>
        <v>9600</v>
      </c>
      <c r="K17" s="13">
        <f t="shared" si="6"/>
        <v>54400</v>
      </c>
      <c r="L17" s="13">
        <f t="shared" si="7"/>
        <v>297600</v>
      </c>
      <c r="N17" s="15" t="s">
        <v>56</v>
      </c>
      <c r="O17" s="2"/>
      <c r="P17" s="2"/>
    </row>
    <row r="18" spans="1:16" x14ac:dyDescent="0.25">
      <c r="A18" s="11">
        <v>36240682</v>
      </c>
      <c r="B18" s="12" t="s">
        <v>57</v>
      </c>
      <c r="C18" s="11" t="s">
        <v>42</v>
      </c>
      <c r="D18" s="26">
        <v>3</v>
      </c>
      <c r="E18" s="28">
        <f t="shared" si="1"/>
        <v>352000</v>
      </c>
      <c r="F18" s="20">
        <f t="shared" si="2"/>
        <v>32000</v>
      </c>
      <c r="G18" s="13">
        <f t="shared" si="0"/>
        <v>320000</v>
      </c>
      <c r="H18" s="13">
        <f t="shared" si="3"/>
        <v>35200</v>
      </c>
      <c r="I18" s="13">
        <f t="shared" si="4"/>
        <v>9600</v>
      </c>
      <c r="J18" s="13">
        <f t="shared" si="5"/>
        <v>9600</v>
      </c>
      <c r="K18" s="13">
        <f t="shared" si="6"/>
        <v>54400</v>
      </c>
      <c r="L18" s="13">
        <f t="shared" si="7"/>
        <v>297600</v>
      </c>
      <c r="N18" s="9" t="s">
        <v>58</v>
      </c>
      <c r="O18" s="9" t="s">
        <v>32</v>
      </c>
      <c r="P18" s="9" t="s">
        <v>33</v>
      </c>
    </row>
    <row r="19" spans="1:16" x14ac:dyDescent="0.25">
      <c r="A19" s="11">
        <v>25545110</v>
      </c>
      <c r="B19" s="12" t="s">
        <v>59</v>
      </c>
      <c r="C19" s="11" t="s">
        <v>48</v>
      </c>
      <c r="D19" s="26">
        <v>3</v>
      </c>
      <c r="E19" s="28">
        <f t="shared" si="1"/>
        <v>326400</v>
      </c>
      <c r="F19" s="20">
        <f t="shared" si="2"/>
        <v>6400</v>
      </c>
      <c r="G19" s="13">
        <f t="shared" si="0"/>
        <v>320000</v>
      </c>
      <c r="H19" s="13">
        <f t="shared" si="3"/>
        <v>35200</v>
      </c>
      <c r="I19" s="13">
        <f t="shared" si="4"/>
        <v>9600</v>
      </c>
      <c r="J19" s="13">
        <f t="shared" si="5"/>
        <v>9600</v>
      </c>
      <c r="K19" s="13">
        <f t="shared" si="6"/>
        <v>54400</v>
      </c>
      <c r="L19" s="13">
        <f t="shared" si="7"/>
        <v>272000</v>
      </c>
      <c r="N19" s="16">
        <v>0.11</v>
      </c>
      <c r="O19" s="16">
        <v>0.03</v>
      </c>
      <c r="P19" s="16">
        <v>0.03</v>
      </c>
    </row>
    <row r="20" spans="1:16" x14ac:dyDescent="0.25">
      <c r="A20" s="11">
        <v>26559045</v>
      </c>
      <c r="B20" s="12" t="s">
        <v>60</v>
      </c>
      <c r="C20" s="11" t="s">
        <v>48</v>
      </c>
      <c r="D20" s="26">
        <v>3</v>
      </c>
      <c r="E20" s="28">
        <f t="shared" si="1"/>
        <v>326400</v>
      </c>
      <c r="F20" s="20">
        <f t="shared" si="2"/>
        <v>6400</v>
      </c>
      <c r="G20" s="13">
        <f t="shared" si="0"/>
        <v>320000</v>
      </c>
      <c r="H20" s="13">
        <f t="shared" si="3"/>
        <v>35200</v>
      </c>
      <c r="I20" s="13">
        <f t="shared" si="4"/>
        <v>9600</v>
      </c>
      <c r="J20" s="13">
        <f t="shared" si="5"/>
        <v>9600</v>
      </c>
      <c r="K20" s="13">
        <f t="shared" si="6"/>
        <v>54400</v>
      </c>
      <c r="L20" s="13">
        <f t="shared" si="7"/>
        <v>272000</v>
      </c>
    </row>
    <row r="21" spans="1:16" ht="15.75" customHeight="1" x14ac:dyDescent="0.25">
      <c r="A21" s="11">
        <v>26495303</v>
      </c>
      <c r="B21" s="12" t="s">
        <v>61</v>
      </c>
      <c r="C21" s="11" t="s">
        <v>38</v>
      </c>
      <c r="D21" s="26">
        <v>4</v>
      </c>
      <c r="E21" s="28">
        <f t="shared" si="1"/>
        <v>330750</v>
      </c>
      <c r="F21" s="20">
        <f t="shared" si="2"/>
        <v>15750</v>
      </c>
      <c r="G21" s="13">
        <f t="shared" si="0"/>
        <v>315000</v>
      </c>
      <c r="H21" s="13">
        <f t="shared" si="3"/>
        <v>34650</v>
      </c>
      <c r="I21" s="13">
        <f t="shared" si="4"/>
        <v>9450</v>
      </c>
      <c r="J21" s="13">
        <f t="shared" si="5"/>
        <v>9450</v>
      </c>
      <c r="K21" s="13">
        <f t="shared" si="6"/>
        <v>53550</v>
      </c>
      <c r="L21" s="13">
        <f t="shared" si="7"/>
        <v>277200</v>
      </c>
      <c r="N21" s="15" t="s">
        <v>62</v>
      </c>
      <c r="O21" s="9" t="s">
        <v>63</v>
      </c>
      <c r="P21" s="9" t="s">
        <v>64</v>
      </c>
    </row>
    <row r="22" spans="1:16" ht="15.75" customHeight="1" x14ac:dyDescent="0.25">
      <c r="A22" s="11">
        <v>26592248</v>
      </c>
      <c r="B22" s="12" t="s">
        <v>65</v>
      </c>
      <c r="C22" s="11" t="s">
        <v>38</v>
      </c>
      <c r="D22" s="26">
        <v>4</v>
      </c>
      <c r="E22" s="28">
        <f t="shared" si="1"/>
        <v>330750</v>
      </c>
      <c r="F22" s="20">
        <f t="shared" si="2"/>
        <v>15750</v>
      </c>
      <c r="G22" s="13">
        <f t="shared" si="0"/>
        <v>315000</v>
      </c>
      <c r="H22" s="13">
        <f t="shared" si="3"/>
        <v>34650</v>
      </c>
      <c r="I22" s="13">
        <f t="shared" si="4"/>
        <v>9450</v>
      </c>
      <c r="J22" s="13">
        <f t="shared" si="5"/>
        <v>9450</v>
      </c>
      <c r="K22" s="13">
        <f t="shared" si="6"/>
        <v>53550</v>
      </c>
      <c r="L22" s="13">
        <f t="shared" si="7"/>
        <v>277200</v>
      </c>
      <c r="N22" s="12" t="s">
        <v>66</v>
      </c>
      <c r="O22" s="17">
        <f>COUNTA(B4:B56)</f>
        <v>53</v>
      </c>
      <c r="P22" s="18">
        <f>P23+P24+P25</f>
        <v>1</v>
      </c>
    </row>
    <row r="23" spans="1:16" ht="15.75" customHeight="1" x14ac:dyDescent="0.25">
      <c r="A23" s="11">
        <v>25317423</v>
      </c>
      <c r="B23" s="12" t="s">
        <v>67</v>
      </c>
      <c r="C23" s="11" t="s">
        <v>38</v>
      </c>
      <c r="D23" s="26">
        <v>4</v>
      </c>
      <c r="E23" s="28">
        <f t="shared" si="1"/>
        <v>330750</v>
      </c>
      <c r="F23" s="20">
        <f t="shared" si="2"/>
        <v>15750</v>
      </c>
      <c r="G23" s="13">
        <f t="shared" si="0"/>
        <v>315000</v>
      </c>
      <c r="H23" s="13">
        <f t="shared" si="3"/>
        <v>34650</v>
      </c>
      <c r="I23" s="13">
        <f t="shared" si="4"/>
        <v>9450</v>
      </c>
      <c r="J23" s="13">
        <f t="shared" si="5"/>
        <v>9450</v>
      </c>
      <c r="K23" s="13">
        <f t="shared" si="6"/>
        <v>53550</v>
      </c>
      <c r="L23" s="13">
        <f t="shared" si="7"/>
        <v>277200</v>
      </c>
      <c r="N23" s="12" t="s">
        <v>68</v>
      </c>
      <c r="O23" s="17">
        <f>COUNTIF($C$4:$C$56,"M")</f>
        <v>34</v>
      </c>
      <c r="P23" s="19">
        <f>O23/$O$22</f>
        <v>0.64150943396226412</v>
      </c>
    </row>
    <row r="24" spans="1:16" ht="15.75" customHeight="1" x14ac:dyDescent="0.25">
      <c r="A24" s="11">
        <v>25875816</v>
      </c>
      <c r="B24" s="12" t="s">
        <v>69</v>
      </c>
      <c r="C24" s="11" t="s">
        <v>38</v>
      </c>
      <c r="D24" s="26">
        <v>4</v>
      </c>
      <c r="E24" s="28">
        <f t="shared" si="1"/>
        <v>330750</v>
      </c>
      <c r="F24" s="20">
        <f t="shared" si="2"/>
        <v>15750</v>
      </c>
      <c r="G24" s="13">
        <f t="shared" si="0"/>
        <v>315000</v>
      </c>
      <c r="H24" s="13">
        <f t="shared" si="3"/>
        <v>34650</v>
      </c>
      <c r="I24" s="13">
        <f t="shared" si="4"/>
        <v>9450</v>
      </c>
      <c r="J24" s="13">
        <f t="shared" si="5"/>
        <v>9450</v>
      </c>
      <c r="K24" s="13">
        <f t="shared" si="6"/>
        <v>53550</v>
      </c>
      <c r="L24" s="13">
        <f t="shared" si="7"/>
        <v>277200</v>
      </c>
      <c r="N24" s="12" t="s">
        <v>70</v>
      </c>
      <c r="O24" s="17">
        <f>COUNTIF($C$4:$C$56,"T")</f>
        <v>6</v>
      </c>
      <c r="P24" s="19">
        <f t="shared" ref="P24:P25" si="8">O24/$O$22</f>
        <v>0.11320754716981132</v>
      </c>
    </row>
    <row r="25" spans="1:16" ht="15.75" customHeight="1" x14ac:dyDescent="0.25">
      <c r="A25" s="11">
        <v>26402140</v>
      </c>
      <c r="B25" s="12" t="s">
        <v>71</v>
      </c>
      <c r="C25" s="11" t="s">
        <v>38</v>
      </c>
      <c r="D25" s="26">
        <v>4</v>
      </c>
      <c r="E25" s="28">
        <f t="shared" si="1"/>
        <v>330750</v>
      </c>
      <c r="F25" s="20">
        <f t="shared" si="2"/>
        <v>15750</v>
      </c>
      <c r="G25" s="13">
        <f t="shared" si="0"/>
        <v>315000</v>
      </c>
      <c r="H25" s="13">
        <f t="shared" si="3"/>
        <v>34650</v>
      </c>
      <c r="I25" s="13">
        <f t="shared" si="4"/>
        <v>9450</v>
      </c>
      <c r="J25" s="13">
        <f t="shared" si="5"/>
        <v>9450</v>
      </c>
      <c r="K25" s="13">
        <f t="shared" si="6"/>
        <v>53550</v>
      </c>
      <c r="L25" s="13">
        <f t="shared" si="7"/>
        <v>277200</v>
      </c>
      <c r="N25" s="12" t="s">
        <v>72</v>
      </c>
      <c r="O25" s="17">
        <f>COUNTIF($C$4:$C$56,"N")</f>
        <v>13</v>
      </c>
      <c r="P25" s="19">
        <f t="shared" si="8"/>
        <v>0.24528301886792453</v>
      </c>
    </row>
    <row r="26" spans="1:16" ht="15.75" customHeight="1" x14ac:dyDescent="0.25">
      <c r="A26" s="11">
        <v>25833182</v>
      </c>
      <c r="B26" s="12" t="s">
        <v>73</v>
      </c>
      <c r="C26" s="11" t="s">
        <v>38</v>
      </c>
      <c r="D26" s="26">
        <v>4</v>
      </c>
      <c r="E26" s="28">
        <f t="shared" si="1"/>
        <v>330750</v>
      </c>
      <c r="F26" s="20">
        <f t="shared" si="2"/>
        <v>15750</v>
      </c>
      <c r="G26" s="13">
        <f t="shared" si="0"/>
        <v>315000</v>
      </c>
      <c r="H26" s="13">
        <f t="shared" si="3"/>
        <v>34650</v>
      </c>
      <c r="I26" s="13">
        <f t="shared" si="4"/>
        <v>9450</v>
      </c>
      <c r="J26" s="13">
        <f t="shared" si="5"/>
        <v>9450</v>
      </c>
      <c r="K26" s="13">
        <f t="shared" si="6"/>
        <v>53550</v>
      </c>
      <c r="L26" s="13">
        <f t="shared" si="7"/>
        <v>277200</v>
      </c>
    </row>
    <row r="27" spans="1:16" ht="15.75" customHeight="1" x14ac:dyDescent="0.25">
      <c r="A27" s="11">
        <v>26605740</v>
      </c>
      <c r="B27" s="12" t="s">
        <v>74</v>
      </c>
      <c r="C27" s="11" t="s">
        <v>38</v>
      </c>
      <c r="D27" s="26">
        <v>4</v>
      </c>
      <c r="E27" s="28">
        <f t="shared" si="1"/>
        <v>330750</v>
      </c>
      <c r="F27" s="20">
        <f t="shared" si="2"/>
        <v>15750</v>
      </c>
      <c r="G27" s="13">
        <f t="shared" si="0"/>
        <v>315000</v>
      </c>
      <c r="H27" s="13">
        <f t="shared" si="3"/>
        <v>34650</v>
      </c>
      <c r="I27" s="13">
        <f t="shared" si="4"/>
        <v>9450</v>
      </c>
      <c r="J27" s="13">
        <f t="shared" si="5"/>
        <v>9450</v>
      </c>
      <c r="K27" s="13">
        <f t="shared" si="6"/>
        <v>53550</v>
      </c>
      <c r="L27" s="13">
        <f t="shared" si="7"/>
        <v>277200</v>
      </c>
      <c r="N27" s="15" t="s">
        <v>75</v>
      </c>
      <c r="O27" s="2"/>
      <c r="P27" s="2"/>
    </row>
    <row r="28" spans="1:16" ht="15.75" customHeight="1" x14ac:dyDescent="0.25">
      <c r="A28" s="11">
        <v>25878954</v>
      </c>
      <c r="B28" s="12" t="s">
        <v>76</v>
      </c>
      <c r="C28" s="11" t="s">
        <v>38</v>
      </c>
      <c r="D28" s="26">
        <v>4</v>
      </c>
      <c r="E28" s="28">
        <f t="shared" si="1"/>
        <v>330750</v>
      </c>
      <c r="F28" s="20">
        <f t="shared" si="2"/>
        <v>15750</v>
      </c>
      <c r="G28" s="13">
        <f t="shared" si="0"/>
        <v>315000</v>
      </c>
      <c r="H28" s="13">
        <f t="shared" si="3"/>
        <v>34650</v>
      </c>
      <c r="I28" s="13">
        <f t="shared" si="4"/>
        <v>9450</v>
      </c>
      <c r="J28" s="13">
        <f t="shared" si="5"/>
        <v>9450</v>
      </c>
      <c r="K28" s="13">
        <f t="shared" si="6"/>
        <v>53550</v>
      </c>
      <c r="L28" s="13">
        <f t="shared" si="7"/>
        <v>277200</v>
      </c>
      <c r="N28" s="53" t="s">
        <v>77</v>
      </c>
      <c r="O28" s="54"/>
      <c r="P28" s="15" t="s">
        <v>78</v>
      </c>
    </row>
    <row r="29" spans="1:16" ht="15.75" customHeight="1" x14ac:dyDescent="0.25">
      <c r="A29" s="11">
        <v>27494934</v>
      </c>
      <c r="B29" s="12" t="s">
        <v>79</v>
      </c>
      <c r="C29" s="11" t="s">
        <v>38</v>
      </c>
      <c r="D29" s="26">
        <v>4</v>
      </c>
      <c r="E29" s="28">
        <f t="shared" si="1"/>
        <v>330750</v>
      </c>
      <c r="F29" s="20">
        <f t="shared" si="2"/>
        <v>15750</v>
      </c>
      <c r="G29" s="13">
        <f t="shared" si="0"/>
        <v>315000</v>
      </c>
      <c r="H29" s="13">
        <f t="shared" si="3"/>
        <v>34650</v>
      </c>
      <c r="I29" s="13">
        <f t="shared" si="4"/>
        <v>9450</v>
      </c>
      <c r="J29" s="13">
        <f t="shared" si="5"/>
        <v>9450</v>
      </c>
      <c r="K29" s="13">
        <f t="shared" si="6"/>
        <v>53550</v>
      </c>
      <c r="L29" s="13">
        <f t="shared" si="7"/>
        <v>277200</v>
      </c>
      <c r="N29" s="12" t="s">
        <v>80</v>
      </c>
      <c r="O29" s="20">
        <f>AVERAGE(L4:L56)</f>
        <v>302794.33962264151</v>
      </c>
      <c r="P29" s="40" t="s">
        <v>135</v>
      </c>
    </row>
    <row r="30" spans="1:16" ht="15.75" customHeight="1" x14ac:dyDescent="0.25">
      <c r="A30" s="11">
        <v>26088964</v>
      </c>
      <c r="B30" s="12" t="s">
        <v>81</v>
      </c>
      <c r="C30" s="11" t="s">
        <v>38</v>
      </c>
      <c r="D30" s="26">
        <v>4</v>
      </c>
      <c r="E30" s="28">
        <f t="shared" si="1"/>
        <v>330750</v>
      </c>
      <c r="F30" s="20">
        <f t="shared" si="2"/>
        <v>15750</v>
      </c>
      <c r="G30" s="13">
        <f t="shared" si="0"/>
        <v>315000</v>
      </c>
      <c r="H30" s="13">
        <f t="shared" si="3"/>
        <v>34650</v>
      </c>
      <c r="I30" s="13">
        <f t="shared" si="4"/>
        <v>9450</v>
      </c>
      <c r="J30" s="13">
        <f t="shared" si="5"/>
        <v>9450</v>
      </c>
      <c r="K30" s="13">
        <f t="shared" si="6"/>
        <v>53550</v>
      </c>
      <c r="L30" s="13">
        <f t="shared" si="7"/>
        <v>277200</v>
      </c>
      <c r="N30" s="12" t="s">
        <v>82</v>
      </c>
      <c r="O30" s="20">
        <f>MEDIAN(L4:L56)</f>
        <v>281600</v>
      </c>
      <c r="P30" s="39" t="s">
        <v>136</v>
      </c>
    </row>
    <row r="31" spans="1:16" ht="15.75" customHeight="1" x14ac:dyDescent="0.25">
      <c r="A31" s="11">
        <v>26338517</v>
      </c>
      <c r="B31" s="12" t="s">
        <v>83</v>
      </c>
      <c r="C31" s="11" t="s">
        <v>38</v>
      </c>
      <c r="D31" s="26">
        <v>4</v>
      </c>
      <c r="E31" s="28">
        <f t="shared" si="1"/>
        <v>330750</v>
      </c>
      <c r="F31" s="20">
        <f t="shared" si="2"/>
        <v>15750</v>
      </c>
      <c r="G31" s="13">
        <f t="shared" si="0"/>
        <v>315000</v>
      </c>
      <c r="H31" s="13">
        <f t="shared" si="3"/>
        <v>34650</v>
      </c>
      <c r="I31" s="13">
        <f t="shared" si="4"/>
        <v>9450</v>
      </c>
      <c r="J31" s="13">
        <f t="shared" si="5"/>
        <v>9450</v>
      </c>
      <c r="K31" s="13">
        <f t="shared" si="6"/>
        <v>53550</v>
      </c>
      <c r="L31" s="13">
        <f t="shared" si="7"/>
        <v>277200</v>
      </c>
      <c r="N31" s="12" t="s">
        <v>84</v>
      </c>
      <c r="O31" s="20">
        <f>_xlfn.MODE.SNGL(L4:L56)</f>
        <v>277200</v>
      </c>
      <c r="P31" s="39" t="s">
        <v>137</v>
      </c>
    </row>
    <row r="32" spans="1:16" ht="15.75" customHeight="1" x14ac:dyDescent="0.25">
      <c r="A32" s="11">
        <v>25612731</v>
      </c>
      <c r="B32" s="12" t="s">
        <v>85</v>
      </c>
      <c r="C32" s="11" t="s">
        <v>38</v>
      </c>
      <c r="D32" s="26">
        <v>4</v>
      </c>
      <c r="E32" s="28">
        <f t="shared" si="1"/>
        <v>330750</v>
      </c>
      <c r="F32" s="20">
        <f t="shared" si="2"/>
        <v>15750</v>
      </c>
      <c r="G32" s="13">
        <f t="shared" si="0"/>
        <v>315000</v>
      </c>
      <c r="H32" s="13">
        <f t="shared" si="3"/>
        <v>34650</v>
      </c>
      <c r="I32" s="13">
        <f t="shared" si="4"/>
        <v>9450</v>
      </c>
      <c r="J32" s="13">
        <f t="shared" si="5"/>
        <v>9450</v>
      </c>
      <c r="K32" s="13">
        <f t="shared" si="6"/>
        <v>53550</v>
      </c>
      <c r="L32" s="13">
        <f t="shared" si="7"/>
        <v>277200</v>
      </c>
    </row>
    <row r="33" spans="1:16" ht="15.75" customHeight="1" x14ac:dyDescent="0.25">
      <c r="A33" s="11">
        <v>26470288</v>
      </c>
      <c r="B33" s="12" t="s">
        <v>86</v>
      </c>
      <c r="C33" s="11" t="s">
        <v>38</v>
      </c>
      <c r="D33" s="26">
        <v>4</v>
      </c>
      <c r="E33" s="28">
        <f t="shared" si="1"/>
        <v>330750</v>
      </c>
      <c r="F33" s="20">
        <f t="shared" si="2"/>
        <v>15750</v>
      </c>
      <c r="G33" s="13">
        <f t="shared" si="0"/>
        <v>315000</v>
      </c>
      <c r="H33" s="13">
        <f t="shared" si="3"/>
        <v>34650</v>
      </c>
      <c r="I33" s="13">
        <f t="shared" si="4"/>
        <v>9450</v>
      </c>
      <c r="J33" s="13">
        <f t="shared" si="5"/>
        <v>9450</v>
      </c>
      <c r="K33" s="13">
        <f t="shared" si="6"/>
        <v>53550</v>
      </c>
      <c r="L33" s="13">
        <f t="shared" si="7"/>
        <v>277200</v>
      </c>
      <c r="N33" s="15" t="s">
        <v>87</v>
      </c>
      <c r="O33" s="2"/>
      <c r="P33" s="2"/>
    </row>
    <row r="34" spans="1:16" ht="15.75" customHeight="1" x14ac:dyDescent="0.25">
      <c r="A34" s="11">
        <v>25378498</v>
      </c>
      <c r="B34" s="12" t="s">
        <v>88</v>
      </c>
      <c r="C34" s="11" t="s">
        <v>38</v>
      </c>
      <c r="D34" s="26">
        <v>4</v>
      </c>
      <c r="E34" s="28">
        <f t="shared" si="1"/>
        <v>330750</v>
      </c>
      <c r="F34" s="20">
        <f t="shared" si="2"/>
        <v>15750</v>
      </c>
      <c r="G34" s="13">
        <f t="shared" si="0"/>
        <v>315000</v>
      </c>
      <c r="H34" s="13">
        <f t="shared" si="3"/>
        <v>34650</v>
      </c>
      <c r="I34" s="13">
        <f t="shared" si="4"/>
        <v>9450</v>
      </c>
      <c r="J34" s="13">
        <f t="shared" si="5"/>
        <v>9450</v>
      </c>
      <c r="K34" s="13">
        <f t="shared" si="6"/>
        <v>53550</v>
      </c>
      <c r="L34" s="13">
        <f t="shared" si="7"/>
        <v>277200</v>
      </c>
      <c r="N34" s="15" t="s">
        <v>89</v>
      </c>
      <c r="O34" s="15"/>
      <c r="P34" s="15" t="s">
        <v>78</v>
      </c>
    </row>
    <row r="35" spans="1:16" ht="15.75" customHeight="1" x14ac:dyDescent="0.25">
      <c r="A35" s="11">
        <v>25614344</v>
      </c>
      <c r="B35" s="12" t="s">
        <v>90</v>
      </c>
      <c r="C35" s="11" t="s">
        <v>38</v>
      </c>
      <c r="D35" s="26">
        <v>4</v>
      </c>
      <c r="E35" s="28">
        <f t="shared" si="1"/>
        <v>330750</v>
      </c>
      <c r="F35" s="20">
        <f t="shared" si="2"/>
        <v>15750</v>
      </c>
      <c r="G35" s="13">
        <f t="shared" si="0"/>
        <v>315000</v>
      </c>
      <c r="H35" s="13">
        <f t="shared" si="3"/>
        <v>34650</v>
      </c>
      <c r="I35" s="13">
        <f t="shared" si="4"/>
        <v>9450</v>
      </c>
      <c r="J35" s="13">
        <f t="shared" si="5"/>
        <v>9450</v>
      </c>
      <c r="K35" s="13">
        <f t="shared" si="6"/>
        <v>53550</v>
      </c>
      <c r="L35" s="13">
        <f t="shared" si="7"/>
        <v>277200</v>
      </c>
      <c r="N35" s="12" t="s">
        <v>91</v>
      </c>
      <c r="O35" s="41">
        <f>_xlfn.VAR.P(L4:L56)</f>
        <v>2144416005.6959772</v>
      </c>
      <c r="P35" s="39" t="s">
        <v>135</v>
      </c>
    </row>
    <row r="36" spans="1:16" ht="15.75" customHeight="1" x14ac:dyDescent="0.25">
      <c r="A36" s="11">
        <v>24481793</v>
      </c>
      <c r="B36" s="12" t="s">
        <v>92</v>
      </c>
      <c r="C36" s="11" t="s">
        <v>38</v>
      </c>
      <c r="D36" s="26">
        <v>5</v>
      </c>
      <c r="E36" s="28">
        <f t="shared" si="1"/>
        <v>367500</v>
      </c>
      <c r="F36" s="20">
        <f t="shared" si="2"/>
        <v>17500</v>
      </c>
      <c r="G36" s="13">
        <f t="shared" ref="G36:G56" si="9">VLOOKUP(D36,$N$5:$O$11,2,FALSE)</f>
        <v>350000</v>
      </c>
      <c r="H36" s="13">
        <f t="shared" si="3"/>
        <v>38500</v>
      </c>
      <c r="I36" s="13">
        <f t="shared" si="4"/>
        <v>10500</v>
      </c>
      <c r="J36" s="13">
        <f t="shared" si="5"/>
        <v>10500</v>
      </c>
      <c r="K36" s="13">
        <f t="shared" si="6"/>
        <v>59500</v>
      </c>
      <c r="L36" s="13">
        <f t="shared" si="7"/>
        <v>308000</v>
      </c>
      <c r="N36" s="12" t="s">
        <v>93</v>
      </c>
      <c r="O36" s="13">
        <f>_xlfn.STDEV.P(L4:L56)</f>
        <v>46307.839570595141</v>
      </c>
      <c r="P36" s="39" t="s">
        <v>136</v>
      </c>
    </row>
    <row r="37" spans="1:16" ht="15.75" customHeight="1" x14ac:dyDescent="0.25">
      <c r="A37" s="11">
        <v>26752799</v>
      </c>
      <c r="B37" s="12" t="s">
        <v>94</v>
      </c>
      <c r="C37" s="11" t="s">
        <v>38</v>
      </c>
      <c r="D37" s="26">
        <v>5</v>
      </c>
      <c r="E37" s="28">
        <f t="shared" si="1"/>
        <v>367500</v>
      </c>
      <c r="F37" s="20">
        <f t="shared" si="2"/>
        <v>17500</v>
      </c>
      <c r="G37" s="13">
        <f t="shared" si="9"/>
        <v>350000</v>
      </c>
      <c r="H37" s="13">
        <f t="shared" si="3"/>
        <v>38500</v>
      </c>
      <c r="I37" s="13">
        <f t="shared" si="4"/>
        <v>10500</v>
      </c>
      <c r="J37" s="13">
        <f t="shared" si="5"/>
        <v>10500</v>
      </c>
      <c r="K37" s="13">
        <f t="shared" si="6"/>
        <v>59500</v>
      </c>
      <c r="L37" s="13">
        <f t="shared" si="7"/>
        <v>308000</v>
      </c>
      <c r="N37" s="12" t="s">
        <v>95</v>
      </c>
      <c r="O37" s="42">
        <f>(46307.84 / 302794.34) * 100</f>
        <v>15.293495908807275</v>
      </c>
      <c r="P37" s="39" t="s">
        <v>137</v>
      </c>
    </row>
    <row r="38" spans="1:16" ht="15.75" customHeight="1" x14ac:dyDescent="0.25">
      <c r="A38" s="11">
        <v>24334222</v>
      </c>
      <c r="B38" s="12" t="s">
        <v>96</v>
      </c>
      <c r="C38" s="11" t="s">
        <v>38</v>
      </c>
      <c r="D38" s="26">
        <v>5</v>
      </c>
      <c r="E38" s="28">
        <f t="shared" si="1"/>
        <v>367500</v>
      </c>
      <c r="F38" s="20">
        <f t="shared" si="2"/>
        <v>17500</v>
      </c>
      <c r="G38" s="13">
        <f t="shared" si="9"/>
        <v>350000</v>
      </c>
      <c r="H38" s="13">
        <f t="shared" si="3"/>
        <v>38500</v>
      </c>
      <c r="I38" s="13">
        <f t="shared" si="4"/>
        <v>10500</v>
      </c>
      <c r="J38" s="13">
        <f t="shared" si="5"/>
        <v>10500</v>
      </c>
      <c r="K38" s="13">
        <f t="shared" si="6"/>
        <v>59500</v>
      </c>
      <c r="L38" s="13">
        <f t="shared" si="7"/>
        <v>308000</v>
      </c>
    </row>
    <row r="39" spans="1:16" ht="15.75" customHeight="1" x14ac:dyDescent="0.25">
      <c r="A39" s="11">
        <v>26466673</v>
      </c>
      <c r="B39" s="12" t="s">
        <v>97</v>
      </c>
      <c r="C39" s="11" t="s">
        <v>38</v>
      </c>
      <c r="D39" s="26">
        <v>5</v>
      </c>
      <c r="E39" s="28">
        <f t="shared" si="1"/>
        <v>367500</v>
      </c>
      <c r="F39" s="20">
        <f t="shared" si="2"/>
        <v>17500</v>
      </c>
      <c r="G39" s="13">
        <f t="shared" si="9"/>
        <v>350000</v>
      </c>
      <c r="H39" s="13">
        <f t="shared" si="3"/>
        <v>38500</v>
      </c>
      <c r="I39" s="13">
        <f t="shared" si="4"/>
        <v>10500</v>
      </c>
      <c r="J39" s="13">
        <f t="shared" si="5"/>
        <v>10500</v>
      </c>
      <c r="K39" s="13">
        <f t="shared" si="6"/>
        <v>59500</v>
      </c>
      <c r="L39" s="13">
        <f t="shared" si="7"/>
        <v>308000</v>
      </c>
      <c r="N39" s="43" t="s">
        <v>98</v>
      </c>
      <c r="O39" s="45">
        <f>_xlfn.PERCENTILE.EXC(L4:L56, 0.3)</f>
        <v>277200</v>
      </c>
    </row>
    <row r="40" spans="1:16" ht="15.75" customHeight="1" x14ac:dyDescent="0.25">
      <c r="A40" s="11">
        <v>25743592</v>
      </c>
      <c r="B40" s="12" t="s">
        <v>99</v>
      </c>
      <c r="C40" s="11" t="s">
        <v>38</v>
      </c>
      <c r="D40" s="26">
        <v>5</v>
      </c>
      <c r="E40" s="28">
        <f t="shared" si="1"/>
        <v>367500</v>
      </c>
      <c r="F40" s="20">
        <f t="shared" si="2"/>
        <v>17500</v>
      </c>
      <c r="G40" s="13">
        <f t="shared" si="9"/>
        <v>350000</v>
      </c>
      <c r="H40" s="13">
        <f t="shared" si="3"/>
        <v>38500</v>
      </c>
      <c r="I40" s="13">
        <f t="shared" si="4"/>
        <v>10500</v>
      </c>
      <c r="J40" s="13">
        <f t="shared" si="5"/>
        <v>10500</v>
      </c>
      <c r="K40" s="13">
        <f t="shared" si="6"/>
        <v>59500</v>
      </c>
      <c r="L40" s="13">
        <f t="shared" si="7"/>
        <v>308000</v>
      </c>
      <c r="N40" s="12" t="s">
        <v>100</v>
      </c>
      <c r="O40" s="44">
        <f>_xlfn.PERCENTILE.EXC(L4:L56, 0.8)</f>
        <v>325500</v>
      </c>
    </row>
    <row r="41" spans="1:16" ht="15.75" customHeight="1" x14ac:dyDescent="0.25">
      <c r="A41" s="11">
        <v>26516126</v>
      </c>
      <c r="B41" s="12" t="s">
        <v>101</v>
      </c>
      <c r="C41" s="11" t="s">
        <v>38</v>
      </c>
      <c r="D41" s="26">
        <v>5</v>
      </c>
      <c r="E41" s="28">
        <f t="shared" si="1"/>
        <v>367500</v>
      </c>
      <c r="F41" s="20">
        <f t="shared" si="2"/>
        <v>17500</v>
      </c>
      <c r="G41" s="13">
        <f t="shared" si="9"/>
        <v>350000</v>
      </c>
      <c r="H41" s="13">
        <f t="shared" si="3"/>
        <v>38500</v>
      </c>
      <c r="I41" s="13">
        <f t="shared" si="4"/>
        <v>10500</v>
      </c>
      <c r="J41" s="13">
        <f t="shared" si="5"/>
        <v>10500</v>
      </c>
      <c r="K41" s="13">
        <f t="shared" si="6"/>
        <v>59500</v>
      </c>
      <c r="L41" s="13">
        <f t="shared" si="7"/>
        <v>308000</v>
      </c>
    </row>
    <row r="42" spans="1:16" ht="15.75" customHeight="1" x14ac:dyDescent="0.25">
      <c r="A42" s="11">
        <v>25769362</v>
      </c>
      <c r="B42" s="12" t="s">
        <v>102</v>
      </c>
      <c r="C42" s="11" t="s">
        <v>38</v>
      </c>
      <c r="D42" s="26">
        <v>7</v>
      </c>
      <c r="E42" s="28">
        <f t="shared" si="1"/>
        <v>514500</v>
      </c>
      <c r="F42" s="20">
        <f t="shared" si="2"/>
        <v>24500</v>
      </c>
      <c r="G42" s="13">
        <f t="shared" si="9"/>
        <v>490000</v>
      </c>
      <c r="H42" s="13">
        <f t="shared" si="3"/>
        <v>53900</v>
      </c>
      <c r="I42" s="13">
        <f t="shared" si="4"/>
        <v>14700</v>
      </c>
      <c r="J42" s="13">
        <f t="shared" si="5"/>
        <v>14700</v>
      </c>
      <c r="K42" s="13">
        <f t="shared" si="6"/>
        <v>83300</v>
      </c>
      <c r="L42" s="13">
        <f t="shared" si="7"/>
        <v>431200</v>
      </c>
    </row>
    <row r="43" spans="1:16" ht="15.75" customHeight="1" x14ac:dyDescent="0.25">
      <c r="A43" s="11">
        <v>25583375</v>
      </c>
      <c r="B43" s="12" t="s">
        <v>103</v>
      </c>
      <c r="C43" s="11" t="s">
        <v>38</v>
      </c>
      <c r="D43" s="26">
        <v>5</v>
      </c>
      <c r="E43" s="28">
        <f t="shared" si="1"/>
        <v>367500</v>
      </c>
      <c r="F43" s="20">
        <f t="shared" si="2"/>
        <v>17500</v>
      </c>
      <c r="G43" s="13">
        <f t="shared" si="9"/>
        <v>350000</v>
      </c>
      <c r="H43" s="13">
        <f t="shared" si="3"/>
        <v>38500</v>
      </c>
      <c r="I43" s="13">
        <f t="shared" si="4"/>
        <v>10500</v>
      </c>
      <c r="J43" s="13">
        <f t="shared" si="5"/>
        <v>10500</v>
      </c>
      <c r="K43" s="13">
        <f t="shared" si="6"/>
        <v>59500</v>
      </c>
      <c r="L43" s="13">
        <f t="shared" si="7"/>
        <v>308000</v>
      </c>
      <c r="N43" s="15" t="s">
        <v>104</v>
      </c>
    </row>
    <row r="44" spans="1:16" ht="15.75" customHeight="1" x14ac:dyDescent="0.25">
      <c r="A44" s="11">
        <v>26326438</v>
      </c>
      <c r="B44" s="12" t="s">
        <v>105</v>
      </c>
      <c r="C44" s="11" t="s">
        <v>38</v>
      </c>
      <c r="D44" s="26">
        <v>5</v>
      </c>
      <c r="E44" s="28">
        <f t="shared" si="1"/>
        <v>367500</v>
      </c>
      <c r="F44" s="20">
        <f t="shared" si="2"/>
        <v>17500</v>
      </c>
      <c r="G44" s="13">
        <f t="shared" si="9"/>
        <v>350000</v>
      </c>
      <c r="H44" s="13">
        <f t="shared" si="3"/>
        <v>38500</v>
      </c>
      <c r="I44" s="13">
        <f t="shared" si="4"/>
        <v>10500</v>
      </c>
      <c r="J44" s="13">
        <f t="shared" si="5"/>
        <v>10500</v>
      </c>
      <c r="K44" s="13">
        <f t="shared" si="6"/>
        <v>59500</v>
      </c>
      <c r="L44" s="13">
        <f t="shared" si="7"/>
        <v>308000</v>
      </c>
      <c r="N44" s="12" t="s">
        <v>106</v>
      </c>
      <c r="O44" s="21">
        <v>200000</v>
      </c>
      <c r="P44" s="17">
        <f>COUNTIFS(L4:L56,"&lt;=200000,00")</f>
        <v>0</v>
      </c>
    </row>
    <row r="45" spans="1:16" ht="15.75" customHeight="1" x14ac:dyDescent="0.25">
      <c r="A45" s="11">
        <v>20379662</v>
      </c>
      <c r="B45" s="12" t="s">
        <v>107</v>
      </c>
      <c r="C45" s="11" t="s">
        <v>42</v>
      </c>
      <c r="D45" s="26">
        <v>5</v>
      </c>
      <c r="E45" s="28">
        <f t="shared" si="1"/>
        <v>385000</v>
      </c>
      <c r="F45" s="20">
        <f t="shared" si="2"/>
        <v>35000</v>
      </c>
      <c r="G45" s="13">
        <f t="shared" si="9"/>
        <v>350000</v>
      </c>
      <c r="H45" s="13">
        <f t="shared" si="3"/>
        <v>38500</v>
      </c>
      <c r="I45" s="13">
        <f t="shared" si="4"/>
        <v>10500</v>
      </c>
      <c r="J45" s="13">
        <f t="shared" si="5"/>
        <v>10500</v>
      </c>
      <c r="K45" s="13">
        <f t="shared" si="6"/>
        <v>59500</v>
      </c>
      <c r="L45" s="13">
        <f t="shared" si="7"/>
        <v>325500</v>
      </c>
      <c r="N45" s="12" t="s">
        <v>106</v>
      </c>
      <c r="O45" s="21">
        <v>300000</v>
      </c>
      <c r="P45" s="17">
        <f>COUNTIFS(L4:L56,"&lt;=300000,00")</f>
        <v>34</v>
      </c>
    </row>
    <row r="46" spans="1:16" ht="15.75" customHeight="1" x14ac:dyDescent="0.25">
      <c r="A46" s="11">
        <v>20735130</v>
      </c>
      <c r="B46" s="12" t="s">
        <v>108</v>
      </c>
      <c r="C46" s="11" t="s">
        <v>42</v>
      </c>
      <c r="D46" s="26">
        <v>5</v>
      </c>
      <c r="E46" s="28">
        <f t="shared" si="1"/>
        <v>385000</v>
      </c>
      <c r="F46" s="20">
        <f t="shared" si="2"/>
        <v>35000</v>
      </c>
      <c r="G46" s="13">
        <f t="shared" si="9"/>
        <v>350000</v>
      </c>
      <c r="H46" s="13">
        <f t="shared" si="3"/>
        <v>38500</v>
      </c>
      <c r="I46" s="13">
        <f t="shared" si="4"/>
        <v>10500</v>
      </c>
      <c r="J46" s="13">
        <f t="shared" si="5"/>
        <v>10500</v>
      </c>
      <c r="K46" s="13">
        <f t="shared" si="6"/>
        <v>59500</v>
      </c>
      <c r="L46" s="13">
        <f t="shared" si="7"/>
        <v>325500</v>
      </c>
      <c r="N46" s="12" t="s">
        <v>106</v>
      </c>
      <c r="O46" s="21">
        <v>400000</v>
      </c>
      <c r="P46" s="17">
        <f>COUNTIFS(L4:L56,"&lt;=400000,00")</f>
        <v>49</v>
      </c>
    </row>
    <row r="47" spans="1:16" ht="15.75" customHeight="1" x14ac:dyDescent="0.25">
      <c r="A47" s="11">
        <v>26500550</v>
      </c>
      <c r="B47" s="12" t="s">
        <v>109</v>
      </c>
      <c r="C47" s="11" t="s">
        <v>42</v>
      </c>
      <c r="D47" s="26">
        <v>5</v>
      </c>
      <c r="E47" s="28">
        <f t="shared" si="1"/>
        <v>385000</v>
      </c>
      <c r="F47" s="20">
        <f t="shared" si="2"/>
        <v>35000</v>
      </c>
      <c r="G47" s="13">
        <f t="shared" si="9"/>
        <v>350000</v>
      </c>
      <c r="H47" s="13">
        <f t="shared" si="3"/>
        <v>38500</v>
      </c>
      <c r="I47" s="13">
        <f t="shared" si="4"/>
        <v>10500</v>
      </c>
      <c r="J47" s="13">
        <f t="shared" si="5"/>
        <v>10500</v>
      </c>
      <c r="K47" s="13">
        <f t="shared" si="6"/>
        <v>59500</v>
      </c>
      <c r="L47" s="13">
        <f t="shared" si="7"/>
        <v>325500</v>
      </c>
      <c r="N47" s="12" t="s">
        <v>106</v>
      </c>
      <c r="O47" s="21">
        <v>500000</v>
      </c>
      <c r="P47" s="17">
        <f>COUNTIFS(L4:L56,"&lt;=500000,00")</f>
        <v>53</v>
      </c>
    </row>
    <row r="48" spans="1:16" ht="15.75" customHeight="1" x14ac:dyDescent="0.25">
      <c r="A48" s="11">
        <v>24353082</v>
      </c>
      <c r="B48" s="12" t="s">
        <v>110</v>
      </c>
      <c r="C48" s="11" t="s">
        <v>42</v>
      </c>
      <c r="D48" s="26">
        <v>7</v>
      </c>
      <c r="E48" s="28">
        <f t="shared" si="1"/>
        <v>539000</v>
      </c>
      <c r="F48" s="20">
        <f t="shared" si="2"/>
        <v>49000</v>
      </c>
      <c r="G48" s="13">
        <f t="shared" si="9"/>
        <v>490000</v>
      </c>
      <c r="H48" s="13">
        <f t="shared" si="3"/>
        <v>53900</v>
      </c>
      <c r="I48" s="13">
        <f t="shared" si="4"/>
        <v>14700</v>
      </c>
      <c r="J48" s="13">
        <f t="shared" si="5"/>
        <v>14700</v>
      </c>
      <c r="K48" s="13">
        <f t="shared" si="6"/>
        <v>83300</v>
      </c>
      <c r="L48" s="13">
        <f t="shared" si="7"/>
        <v>455700</v>
      </c>
      <c r="N48" s="12" t="s">
        <v>111</v>
      </c>
      <c r="O48" s="21">
        <v>500000</v>
      </c>
      <c r="P48" s="17">
        <f>COUNTIFS($L$4:$L$56,"&gt;500000,00")</f>
        <v>0</v>
      </c>
    </row>
    <row r="49" spans="1:15" ht="15.75" customHeight="1" x14ac:dyDescent="0.25">
      <c r="A49" s="11">
        <v>23965711</v>
      </c>
      <c r="B49" s="12" t="s">
        <v>112</v>
      </c>
      <c r="C49" s="11" t="s">
        <v>42</v>
      </c>
      <c r="D49" s="26">
        <v>5</v>
      </c>
      <c r="E49" s="28">
        <f t="shared" si="1"/>
        <v>385000</v>
      </c>
      <c r="F49" s="20">
        <f t="shared" si="2"/>
        <v>35000</v>
      </c>
      <c r="G49" s="13">
        <f t="shared" si="9"/>
        <v>350000</v>
      </c>
      <c r="H49" s="13">
        <f t="shared" si="3"/>
        <v>38500</v>
      </c>
      <c r="I49" s="13">
        <f t="shared" si="4"/>
        <v>10500</v>
      </c>
      <c r="J49" s="13">
        <f t="shared" si="5"/>
        <v>10500</v>
      </c>
      <c r="K49" s="13">
        <f t="shared" si="6"/>
        <v>59500</v>
      </c>
      <c r="L49" s="13">
        <f t="shared" si="7"/>
        <v>325500</v>
      </c>
    </row>
    <row r="50" spans="1:15" ht="15.75" customHeight="1" x14ac:dyDescent="0.25">
      <c r="A50" s="11">
        <v>26359431</v>
      </c>
      <c r="B50" s="12" t="s">
        <v>113</v>
      </c>
      <c r="C50" s="11" t="s">
        <v>42</v>
      </c>
      <c r="D50" s="26">
        <v>5</v>
      </c>
      <c r="E50" s="28">
        <f t="shared" si="1"/>
        <v>385000</v>
      </c>
      <c r="F50" s="20">
        <f t="shared" si="2"/>
        <v>35000</v>
      </c>
      <c r="G50" s="13">
        <f t="shared" si="9"/>
        <v>350000</v>
      </c>
      <c r="H50" s="13">
        <f t="shared" si="3"/>
        <v>38500</v>
      </c>
      <c r="I50" s="13">
        <f t="shared" si="4"/>
        <v>10500</v>
      </c>
      <c r="J50" s="13">
        <f t="shared" si="5"/>
        <v>10500</v>
      </c>
      <c r="K50" s="13">
        <f t="shared" si="6"/>
        <v>59500</v>
      </c>
      <c r="L50" s="13">
        <f t="shared" si="7"/>
        <v>325500</v>
      </c>
      <c r="N50" s="22" t="s">
        <v>114</v>
      </c>
    </row>
    <row r="51" spans="1:15" ht="15.75" customHeight="1" x14ac:dyDescent="0.25">
      <c r="A51" s="11">
        <v>1047490</v>
      </c>
      <c r="B51" s="12" t="s">
        <v>115</v>
      </c>
      <c r="C51" s="11" t="s">
        <v>48</v>
      </c>
      <c r="D51" s="26">
        <v>5</v>
      </c>
      <c r="E51" s="28">
        <f t="shared" si="1"/>
        <v>357000</v>
      </c>
      <c r="F51" s="20">
        <f t="shared" si="2"/>
        <v>7000</v>
      </c>
      <c r="G51" s="13">
        <f t="shared" si="9"/>
        <v>350000</v>
      </c>
      <c r="H51" s="13">
        <f t="shared" si="3"/>
        <v>38500</v>
      </c>
      <c r="I51" s="13">
        <f t="shared" si="4"/>
        <v>10500</v>
      </c>
      <c r="J51" s="13">
        <f t="shared" si="5"/>
        <v>10500</v>
      </c>
      <c r="K51" s="13">
        <f t="shared" si="6"/>
        <v>59500</v>
      </c>
      <c r="L51" s="13">
        <f t="shared" si="7"/>
        <v>297500</v>
      </c>
      <c r="N51" s="15" t="s">
        <v>116</v>
      </c>
      <c r="O51" s="15"/>
    </row>
    <row r="52" spans="1:15" ht="15.75" customHeight="1" x14ac:dyDescent="0.25">
      <c r="A52" s="11">
        <v>10593841</v>
      </c>
      <c r="B52" s="12" t="s">
        <v>117</v>
      </c>
      <c r="C52" s="11" t="s">
        <v>48</v>
      </c>
      <c r="D52" s="26">
        <v>5</v>
      </c>
      <c r="E52" s="28">
        <f t="shared" si="1"/>
        <v>357000</v>
      </c>
      <c r="F52" s="20">
        <f t="shared" si="2"/>
        <v>7000</v>
      </c>
      <c r="G52" s="13">
        <f t="shared" si="9"/>
        <v>350000</v>
      </c>
      <c r="H52" s="13">
        <f t="shared" si="3"/>
        <v>38500</v>
      </c>
      <c r="I52" s="13">
        <f t="shared" si="4"/>
        <v>10500</v>
      </c>
      <c r="J52" s="13">
        <f t="shared" si="5"/>
        <v>10500</v>
      </c>
      <c r="K52" s="13">
        <f t="shared" si="6"/>
        <v>59500</v>
      </c>
      <c r="L52" s="13">
        <f t="shared" si="7"/>
        <v>297500</v>
      </c>
      <c r="N52" s="12" t="s">
        <v>118</v>
      </c>
      <c r="O52" s="23">
        <f>COUNTIFS($L$4:$L$56,"&gt;0",$L$4:$L$56,"&lt;=100000")</f>
        <v>0</v>
      </c>
    </row>
    <row r="53" spans="1:15" ht="15.75" customHeight="1" x14ac:dyDescent="0.25">
      <c r="A53" s="11">
        <v>25428283</v>
      </c>
      <c r="B53" s="12" t="s">
        <v>119</v>
      </c>
      <c r="C53" s="11" t="s">
        <v>38</v>
      </c>
      <c r="D53" s="26">
        <v>6</v>
      </c>
      <c r="E53" s="28">
        <f t="shared" si="1"/>
        <v>409500</v>
      </c>
      <c r="F53" s="20">
        <f t="shared" si="2"/>
        <v>19500</v>
      </c>
      <c r="G53" s="13">
        <f t="shared" si="9"/>
        <v>390000</v>
      </c>
      <c r="H53" s="13">
        <f t="shared" si="3"/>
        <v>42900</v>
      </c>
      <c r="I53" s="13">
        <f t="shared" si="4"/>
        <v>11700</v>
      </c>
      <c r="J53" s="13">
        <f t="shared" si="5"/>
        <v>11700</v>
      </c>
      <c r="K53" s="13">
        <f t="shared" si="6"/>
        <v>66300</v>
      </c>
      <c r="L53" s="13">
        <f t="shared" si="7"/>
        <v>343200</v>
      </c>
      <c r="N53" s="12" t="s">
        <v>120</v>
      </c>
      <c r="O53" s="23">
        <f>COUNTIFS($L$4:$L$56,"&gt;100000",$L$4:$L$56,"&lt;=200000")</f>
        <v>0</v>
      </c>
    </row>
    <row r="54" spans="1:15" ht="15.75" customHeight="1" x14ac:dyDescent="0.25">
      <c r="A54" s="11">
        <v>21142829</v>
      </c>
      <c r="B54" s="12" t="s">
        <v>121</v>
      </c>
      <c r="C54" s="11" t="s">
        <v>42</v>
      </c>
      <c r="D54" s="26">
        <v>7</v>
      </c>
      <c r="E54" s="28">
        <f t="shared" si="1"/>
        <v>539000</v>
      </c>
      <c r="F54" s="20">
        <f t="shared" si="2"/>
        <v>49000</v>
      </c>
      <c r="G54" s="13">
        <f t="shared" si="9"/>
        <v>490000</v>
      </c>
      <c r="H54" s="13">
        <f t="shared" si="3"/>
        <v>53900</v>
      </c>
      <c r="I54" s="13">
        <f t="shared" si="4"/>
        <v>14700</v>
      </c>
      <c r="J54" s="13">
        <f t="shared" si="5"/>
        <v>14700</v>
      </c>
      <c r="K54" s="13">
        <f t="shared" si="6"/>
        <v>83300</v>
      </c>
      <c r="L54" s="13">
        <f t="shared" si="7"/>
        <v>455700</v>
      </c>
      <c r="N54" s="12" t="s">
        <v>122</v>
      </c>
      <c r="O54" s="23">
        <f>COUNTIFS($L$4:$L$56,"&gt;200000",$L$4:$L$56,"&lt;=300000")</f>
        <v>34</v>
      </c>
    </row>
    <row r="55" spans="1:15" ht="15.75" customHeight="1" x14ac:dyDescent="0.25">
      <c r="A55" s="11">
        <v>21771899</v>
      </c>
      <c r="B55" s="12" t="s">
        <v>123</v>
      </c>
      <c r="C55" s="11" t="s">
        <v>48</v>
      </c>
      <c r="D55" s="26">
        <v>6</v>
      </c>
      <c r="E55" s="28">
        <f t="shared" si="1"/>
        <v>397800</v>
      </c>
      <c r="F55" s="20">
        <f t="shared" si="2"/>
        <v>7800</v>
      </c>
      <c r="G55" s="13">
        <f t="shared" si="9"/>
        <v>390000</v>
      </c>
      <c r="H55" s="13">
        <f t="shared" si="3"/>
        <v>42900</v>
      </c>
      <c r="I55" s="13">
        <f t="shared" si="4"/>
        <v>11700</v>
      </c>
      <c r="J55" s="13">
        <f t="shared" si="5"/>
        <v>11700</v>
      </c>
      <c r="K55" s="13">
        <f t="shared" si="6"/>
        <v>66300</v>
      </c>
      <c r="L55" s="13">
        <f t="shared" si="7"/>
        <v>331500</v>
      </c>
      <c r="N55" s="12" t="s">
        <v>124</v>
      </c>
      <c r="O55" s="23">
        <f>COUNTIFS($L$4:$L$56,"&gt;300000",$L$4:$L$56,"&lt;=400000")</f>
        <v>15</v>
      </c>
    </row>
    <row r="56" spans="1:15" ht="15.75" customHeight="1" x14ac:dyDescent="0.25">
      <c r="A56" s="11">
        <v>24754444</v>
      </c>
      <c r="B56" s="12" t="s">
        <v>125</v>
      </c>
      <c r="C56" s="11" t="s">
        <v>42</v>
      </c>
      <c r="D56" s="26">
        <v>7</v>
      </c>
      <c r="E56" s="28">
        <f t="shared" si="1"/>
        <v>539000</v>
      </c>
      <c r="F56" s="20">
        <f t="shared" si="2"/>
        <v>49000</v>
      </c>
      <c r="G56" s="13">
        <f t="shared" si="9"/>
        <v>490000</v>
      </c>
      <c r="H56" s="13">
        <f t="shared" si="3"/>
        <v>53900</v>
      </c>
      <c r="I56" s="13">
        <f t="shared" si="4"/>
        <v>14700</v>
      </c>
      <c r="J56" s="13">
        <f t="shared" si="5"/>
        <v>14700</v>
      </c>
      <c r="K56" s="13">
        <f t="shared" si="6"/>
        <v>83300</v>
      </c>
      <c r="L56" s="13">
        <f t="shared" si="7"/>
        <v>455700</v>
      </c>
      <c r="N56" s="12" t="s">
        <v>126</v>
      </c>
      <c r="O56" s="23">
        <f>COUNTIFS($L$4:$L$56,"&gt;400000",$L$4:$L$56,"&lt;=500000")</f>
        <v>4</v>
      </c>
    </row>
    <row r="57" spans="1:15" ht="15.75" customHeight="1" x14ac:dyDescent="0.25">
      <c r="E57" s="38"/>
      <c r="L57" s="30"/>
    </row>
    <row r="58" spans="1:15" ht="15.75" customHeight="1" x14ac:dyDescent="0.25">
      <c r="C58">
        <f>AVERAGEIF(C4:C56,"M",L4:L56)</f>
        <v>290529.4117647059</v>
      </c>
    </row>
    <row r="59" spans="1:15" ht="15.75" customHeight="1" x14ac:dyDescent="0.25">
      <c r="C59">
        <f>AVERAGEIF(C4:C56,"T",L4:L56)</f>
        <v>289000</v>
      </c>
      <c r="H59" s="24"/>
    </row>
    <row r="60" spans="1:15" ht="15.75" customHeight="1" x14ac:dyDescent="0.25">
      <c r="C60">
        <f>AVERAGEIF(C4:C56,"N",L4:L56)</f>
        <v>341238.46153846156</v>
      </c>
    </row>
    <row r="61" spans="1:15" ht="15.75" customHeight="1" x14ac:dyDescent="0.25"/>
    <row r="62" spans="1:15" ht="15.75" customHeight="1" x14ac:dyDescent="0.25"/>
    <row r="63" spans="1:15" ht="15.75" customHeight="1" x14ac:dyDescent="0.25"/>
    <row r="64" spans="1:15"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N28:O28"/>
  </mergeCells>
  <pageMargins left="0.7" right="0.7" top="0.75" bottom="0.75" header="0" footer="0"/>
  <pageSetup orientation="landscape"/>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84492-AC1D-475A-8F47-907DE904A84D}">
  <dimension ref="A3:O27"/>
  <sheetViews>
    <sheetView topLeftCell="A4" workbookViewId="0">
      <selection activeCell="F19" sqref="F19"/>
    </sheetView>
  </sheetViews>
  <sheetFormatPr baseColWidth="10" defaultRowHeight="15" x14ac:dyDescent="0.25"/>
  <cols>
    <col min="1" max="1" width="20.42578125" bestFit="1" customWidth="1"/>
    <col min="2" max="2" width="22.85546875" bestFit="1" customWidth="1"/>
    <col min="3" max="4" width="14" bestFit="1" customWidth="1"/>
    <col min="5" max="5" width="15" bestFit="1" customWidth="1"/>
  </cols>
  <sheetData>
    <row r="3" spans="1:5" x14ac:dyDescent="0.25">
      <c r="A3" s="37" t="s">
        <v>132</v>
      </c>
      <c r="B3" s="35" t="s">
        <v>133</v>
      </c>
      <c r="C3" s="34"/>
      <c r="D3" s="34"/>
      <c r="E3" s="34"/>
    </row>
    <row r="4" spans="1:5" x14ac:dyDescent="0.25">
      <c r="A4" s="31" t="s">
        <v>39</v>
      </c>
      <c r="B4" s="36" t="s">
        <v>38</v>
      </c>
      <c r="C4" s="36" t="s">
        <v>42</v>
      </c>
      <c r="D4" s="36" t="s">
        <v>48</v>
      </c>
      <c r="E4" s="36" t="s">
        <v>131</v>
      </c>
    </row>
    <row r="5" spans="1:5" x14ac:dyDescent="0.25">
      <c r="A5" s="32">
        <v>1</v>
      </c>
      <c r="B5" s="33">
        <v>528000</v>
      </c>
      <c r="C5" s="33">
        <v>558000</v>
      </c>
      <c r="D5" s="33"/>
      <c r="E5" s="33">
        <v>1086000</v>
      </c>
    </row>
    <row r="6" spans="1:5" x14ac:dyDescent="0.25">
      <c r="A6" s="32">
        <v>2</v>
      </c>
      <c r="B6" s="33">
        <v>545600</v>
      </c>
      <c r="C6" s="33">
        <v>288300</v>
      </c>
      <c r="D6" s="33">
        <v>263500</v>
      </c>
      <c r="E6" s="33">
        <v>1097400</v>
      </c>
    </row>
    <row r="7" spans="1:5" x14ac:dyDescent="0.25">
      <c r="A7" s="32">
        <v>3</v>
      </c>
      <c r="B7" s="33">
        <v>1408000</v>
      </c>
      <c r="C7" s="33">
        <v>595200</v>
      </c>
      <c r="D7" s="33">
        <v>544000</v>
      </c>
      <c r="E7" s="33">
        <v>2547200</v>
      </c>
    </row>
    <row r="8" spans="1:5" x14ac:dyDescent="0.25">
      <c r="A8" s="32">
        <v>4</v>
      </c>
      <c r="B8" s="33">
        <v>4158000</v>
      </c>
      <c r="C8" s="33"/>
      <c r="D8" s="33"/>
      <c r="E8" s="33">
        <v>4158000</v>
      </c>
    </row>
    <row r="9" spans="1:5" x14ac:dyDescent="0.25">
      <c r="A9" s="32">
        <v>5</v>
      </c>
      <c r="B9" s="33">
        <v>2464000</v>
      </c>
      <c r="C9" s="33">
        <v>1627500</v>
      </c>
      <c r="D9" s="33">
        <v>595000</v>
      </c>
      <c r="E9" s="33">
        <v>4686500</v>
      </c>
    </row>
    <row r="10" spans="1:5" x14ac:dyDescent="0.25">
      <c r="A10" s="32">
        <v>6</v>
      </c>
      <c r="B10" s="33">
        <v>343200</v>
      </c>
      <c r="C10" s="33"/>
      <c r="D10" s="33">
        <v>331500</v>
      </c>
      <c r="E10" s="33">
        <v>674700</v>
      </c>
    </row>
    <row r="11" spans="1:5" x14ac:dyDescent="0.25">
      <c r="A11" s="32">
        <v>7</v>
      </c>
      <c r="B11" s="33">
        <v>431200</v>
      </c>
      <c r="C11" s="33">
        <v>1367100</v>
      </c>
      <c r="D11" s="33"/>
      <c r="E11" s="33">
        <v>1798300</v>
      </c>
    </row>
    <row r="12" spans="1:5" x14ac:dyDescent="0.25">
      <c r="A12" s="32" t="s">
        <v>131</v>
      </c>
      <c r="B12" s="33">
        <v>9878000</v>
      </c>
      <c r="C12" s="33">
        <v>4436100</v>
      </c>
      <c r="D12" s="33">
        <v>1734000</v>
      </c>
      <c r="E12" s="33">
        <v>16048100</v>
      </c>
    </row>
    <row r="14" spans="1:5" ht="15" customHeight="1" x14ac:dyDescent="0.25"/>
    <row r="18" spans="8:15" ht="15" customHeight="1" x14ac:dyDescent="0.25">
      <c r="H18" s="55" t="s">
        <v>134</v>
      </c>
      <c r="I18" s="55"/>
      <c r="J18" s="55"/>
      <c r="K18" s="55"/>
      <c r="L18" s="55"/>
      <c r="M18" s="55"/>
      <c r="N18" s="55"/>
      <c r="O18" s="55"/>
    </row>
    <row r="19" spans="8:15" x14ac:dyDescent="0.25">
      <c r="H19" s="55"/>
      <c r="I19" s="55"/>
      <c r="J19" s="55"/>
      <c r="K19" s="55"/>
      <c r="L19" s="55"/>
      <c r="M19" s="55"/>
      <c r="N19" s="55"/>
      <c r="O19" s="55"/>
    </row>
    <row r="20" spans="8:15" x14ac:dyDescent="0.25">
      <c r="H20" s="55"/>
      <c r="I20" s="55"/>
      <c r="J20" s="55"/>
      <c r="K20" s="55"/>
      <c r="L20" s="55"/>
      <c r="M20" s="55"/>
      <c r="N20" s="55"/>
      <c r="O20" s="55"/>
    </row>
    <row r="21" spans="8:15" x14ac:dyDescent="0.25">
      <c r="H21" s="55"/>
      <c r="I21" s="55"/>
      <c r="J21" s="55"/>
      <c r="K21" s="55"/>
      <c r="L21" s="55"/>
      <c r="M21" s="55"/>
      <c r="N21" s="55"/>
      <c r="O21" s="55"/>
    </row>
    <row r="22" spans="8:15" x14ac:dyDescent="0.25">
      <c r="H22" s="55"/>
      <c r="I22" s="55"/>
      <c r="J22" s="55"/>
      <c r="K22" s="55"/>
      <c r="L22" s="55"/>
      <c r="M22" s="55"/>
      <c r="N22" s="55"/>
      <c r="O22" s="55"/>
    </row>
    <row r="23" spans="8:15" x14ac:dyDescent="0.25">
      <c r="H23" s="55"/>
      <c r="I23" s="55"/>
      <c r="J23" s="55"/>
      <c r="K23" s="55"/>
      <c r="L23" s="55"/>
      <c r="M23" s="55"/>
      <c r="N23" s="55"/>
      <c r="O23" s="55"/>
    </row>
    <row r="24" spans="8:15" x14ac:dyDescent="0.25">
      <c r="H24" s="55"/>
      <c r="I24" s="55"/>
      <c r="J24" s="55"/>
      <c r="K24" s="55"/>
      <c r="L24" s="55"/>
      <c r="M24" s="55"/>
      <c r="N24" s="55"/>
      <c r="O24" s="55"/>
    </row>
    <row r="25" spans="8:15" x14ac:dyDescent="0.25">
      <c r="H25" s="55"/>
      <c r="I25" s="55"/>
      <c r="J25" s="55"/>
      <c r="K25" s="55"/>
      <c r="L25" s="55"/>
      <c r="M25" s="55"/>
      <c r="N25" s="55"/>
      <c r="O25" s="55"/>
    </row>
    <row r="26" spans="8:15" x14ac:dyDescent="0.25">
      <c r="H26" s="55"/>
      <c r="I26" s="55"/>
      <c r="J26" s="55"/>
      <c r="K26" s="55"/>
      <c r="L26" s="55"/>
      <c r="M26" s="55"/>
      <c r="N26" s="55"/>
      <c r="O26" s="55"/>
    </row>
    <row r="27" spans="8:15" x14ac:dyDescent="0.25">
      <c r="H27" s="55"/>
      <c r="I27" s="55"/>
      <c r="J27" s="55"/>
      <c r="K27" s="55"/>
      <c r="L27" s="55"/>
      <c r="M27" s="55"/>
      <c r="N27" s="55"/>
      <c r="O27" s="55"/>
    </row>
  </sheetData>
  <mergeCells count="1">
    <mergeCell ref="H18:O27"/>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Consignas</vt:lpstr>
      <vt:lpstr>Datos</vt:lpstr>
      <vt:lpstr>Tabla Dinámica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Vasconi</dc:creator>
  <cp:lastModifiedBy>FABIAN BERTOTTI</cp:lastModifiedBy>
  <dcterms:created xsi:type="dcterms:W3CDTF">2025-06-23T14:19:52Z</dcterms:created>
  <dcterms:modified xsi:type="dcterms:W3CDTF">2025-08-28T03:01:36Z</dcterms:modified>
</cp:coreProperties>
</file>