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lb\Desktop\Regressão Linear - 16-06-2018\Exercícios Aula\"/>
    </mc:Choice>
  </mc:AlternateContent>
  <bookViews>
    <workbookView xWindow="0" yWindow="0" windowWidth="20490" windowHeight="7755" firstSheet="6" activeTab="8"/>
  </bookViews>
  <sheets>
    <sheet name="Inspeção Gráfica" sheetId="1" r:id="rId1"/>
    <sheet name="ANOVA" sheetId="2" r:id="rId2"/>
    <sheet name="Avaliação do Coef Angular" sheetId="4" r:id="rId3"/>
    <sheet name="Outliers" sheetId="3" r:id="rId4"/>
    <sheet name="Suplemento-Resíduos" sheetId="5" r:id="rId5"/>
    <sheet name="Suplemento-NormalidadeY" sheetId="6" r:id="rId6"/>
    <sheet name="Suplemento-NormalidadeX" sheetId="7" r:id="rId7"/>
    <sheet name="Suplemento-IC95Fit" sheetId="8" r:id="rId8"/>
    <sheet name="Suplemento-NormalidadeSRes" sheetId="9" r:id="rId9"/>
  </sheets>
  <externalReferences>
    <externalReference r:id="rId10"/>
  </externalReferences>
  <calcPr calcId="152511"/>
</workbook>
</file>

<file path=xl/calcChain.xml><?xml version="1.0" encoding="utf-8"?>
<calcChain xmlns="http://schemas.openxmlformats.org/spreadsheetml/2006/main">
  <c r="H10" i="9" l="1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I9" i="9"/>
  <c r="H9" i="9"/>
  <c r="F11" i="9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10" i="9"/>
  <c r="G6" i="9"/>
  <c r="G5" i="9"/>
  <c r="H4" i="9"/>
  <c r="G4" i="9"/>
  <c r="D15" i="9"/>
  <c r="D8" i="9"/>
  <c r="D4" i="9"/>
  <c r="E8" i="8"/>
  <c r="E7" i="8"/>
  <c r="E6" i="8"/>
  <c r="E5" i="8"/>
  <c r="E4" i="8"/>
  <c r="I9" i="7"/>
  <c r="J9" i="7"/>
  <c r="I10" i="7"/>
  <c r="J10" i="7"/>
  <c r="I11" i="7"/>
  <c r="J11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  <c r="I20" i="7"/>
  <c r="J20" i="7"/>
  <c r="I21" i="7"/>
  <c r="J21" i="7"/>
  <c r="I22" i="7"/>
  <c r="J22" i="7"/>
  <c r="J8" i="7"/>
  <c r="I8" i="7"/>
  <c r="G10" i="7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9" i="7"/>
  <c r="H5" i="7"/>
  <c r="H4" i="7"/>
  <c r="I3" i="7"/>
  <c r="H3" i="7"/>
  <c r="E14" i="7"/>
  <c r="E7" i="7"/>
  <c r="E3" i="7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J9" i="6"/>
  <c r="I9" i="6"/>
  <c r="G11" i="6"/>
  <c r="G12" i="6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10" i="6"/>
  <c r="H6" i="6"/>
  <c r="H5" i="6"/>
  <c r="I4" i="6"/>
  <c r="H4" i="6"/>
  <c r="E15" i="6"/>
  <c r="E8" i="6"/>
  <c r="E4" i="6"/>
  <c r="V7" i="5"/>
  <c r="W7" i="5"/>
  <c r="X7" i="5"/>
  <c r="Y7" i="5" s="1"/>
  <c r="Z7" i="5"/>
  <c r="V8" i="5"/>
  <c r="W8" i="5"/>
  <c r="X8" i="5"/>
  <c r="Y8" i="5" s="1"/>
  <c r="Z8" i="5"/>
  <c r="V9" i="5"/>
  <c r="W9" i="5"/>
  <c r="X9" i="5"/>
  <c r="Y9" i="5" s="1"/>
  <c r="Z9" i="5"/>
  <c r="V10" i="5"/>
  <c r="W10" i="5"/>
  <c r="X10" i="5"/>
  <c r="Y10" i="5" s="1"/>
  <c r="Z10" i="5"/>
  <c r="V11" i="5"/>
  <c r="W11" i="5"/>
  <c r="X11" i="5"/>
  <c r="Y11" i="5" s="1"/>
  <c r="Z11" i="5"/>
  <c r="V12" i="5"/>
  <c r="W12" i="5"/>
  <c r="X12" i="5"/>
  <c r="Y12" i="5" s="1"/>
  <c r="Z12" i="5"/>
  <c r="V13" i="5"/>
  <c r="W13" i="5"/>
  <c r="X13" i="5"/>
  <c r="Y13" i="5" s="1"/>
  <c r="Z13" i="5"/>
  <c r="V14" i="5"/>
  <c r="W14" i="5"/>
  <c r="X14" i="5"/>
  <c r="Y14" i="5" s="1"/>
  <c r="Z14" i="5"/>
  <c r="V15" i="5"/>
  <c r="W15" i="5"/>
  <c r="X15" i="5"/>
  <c r="Y15" i="5" s="1"/>
  <c r="Z15" i="5"/>
  <c r="V16" i="5"/>
  <c r="W16" i="5"/>
  <c r="X16" i="5"/>
  <c r="Y16" i="5" s="1"/>
  <c r="Z16" i="5"/>
  <c r="V17" i="5"/>
  <c r="W17" i="5"/>
  <c r="X17" i="5"/>
  <c r="Y17" i="5" s="1"/>
  <c r="Z17" i="5"/>
  <c r="V18" i="5"/>
  <c r="W18" i="5"/>
  <c r="X18" i="5"/>
  <c r="Y18" i="5" s="1"/>
  <c r="Z18" i="5"/>
  <c r="V19" i="5"/>
  <c r="W19" i="5"/>
  <c r="X19" i="5"/>
  <c r="Y19" i="5" s="1"/>
  <c r="Z19" i="5"/>
  <c r="V20" i="5"/>
  <c r="W20" i="5"/>
  <c r="X20" i="5"/>
  <c r="Y20" i="5" s="1"/>
  <c r="Z20" i="5"/>
  <c r="AA6" i="5"/>
  <c r="Z6" i="5"/>
  <c r="Y6" i="5"/>
  <c r="X6" i="5"/>
  <c r="W6" i="5"/>
  <c r="V6" i="5"/>
  <c r="AD9" i="5"/>
  <c r="AD7" i="5"/>
  <c r="AD8" i="5" s="1"/>
  <c r="AD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6" i="5"/>
  <c r="S6" i="5" a="1"/>
  <c r="S7" i="5" s="1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5" i="5"/>
  <c r="P8" i="5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7" i="5"/>
  <c r="G20" i="5"/>
  <c r="H20" i="5" s="1"/>
  <c r="I20" i="5"/>
  <c r="J20" i="5"/>
  <c r="J19" i="5"/>
  <c r="I19" i="5"/>
  <c r="H19" i="5"/>
  <c r="G19" i="5"/>
  <c r="D20" i="5" a="1"/>
  <c r="D20" i="5"/>
  <c r="F16" i="5"/>
  <c r="E16" i="5"/>
  <c r="E15" i="5" s="1"/>
  <c r="E14" i="5"/>
  <c r="E10" i="5"/>
  <c r="G9" i="9" a="1"/>
  <c r="D13" i="9"/>
  <c r="D12" i="9"/>
  <c r="D6" i="9"/>
  <c r="D5" i="9"/>
  <c r="H8" i="7" a="1"/>
  <c r="E12" i="7"/>
  <c r="E11" i="7"/>
  <c r="E5" i="7"/>
  <c r="E4" i="7"/>
  <c r="H9" i="6" a="1"/>
  <c r="E13" i="6"/>
  <c r="E12" i="6"/>
  <c r="E6" i="6"/>
  <c r="E5" i="6"/>
  <c r="U6" i="5" a="1"/>
  <c r="M7" i="5" a="1"/>
  <c r="E19" i="5" a="1"/>
  <c r="G9" i="9" l="1"/>
  <c r="G11" i="9"/>
  <c r="G13" i="9"/>
  <c r="G15" i="9"/>
  <c r="G17" i="9"/>
  <c r="G19" i="9"/>
  <c r="G21" i="9"/>
  <c r="G23" i="9"/>
  <c r="G10" i="9"/>
  <c r="G12" i="9"/>
  <c r="G14" i="9"/>
  <c r="G16" i="9"/>
  <c r="G18" i="9"/>
  <c r="G20" i="9"/>
  <c r="G22" i="9"/>
  <c r="H9" i="7"/>
  <c r="H11" i="7"/>
  <c r="H13" i="7"/>
  <c r="H15" i="7"/>
  <c r="H17" i="7"/>
  <c r="H19" i="7"/>
  <c r="H21" i="7"/>
  <c r="H8" i="7"/>
  <c r="H10" i="7"/>
  <c r="H12" i="7"/>
  <c r="H14" i="7"/>
  <c r="H16" i="7"/>
  <c r="H18" i="7"/>
  <c r="H20" i="7"/>
  <c r="H22" i="7"/>
  <c r="H9" i="6"/>
  <c r="H11" i="6"/>
  <c r="H13" i="6"/>
  <c r="H15" i="6"/>
  <c r="H17" i="6"/>
  <c r="H19" i="6"/>
  <c r="H21" i="6"/>
  <c r="H23" i="6"/>
  <c r="H10" i="6"/>
  <c r="H12" i="6"/>
  <c r="H14" i="6"/>
  <c r="H16" i="6"/>
  <c r="H18" i="6"/>
  <c r="H20" i="6"/>
  <c r="H22" i="6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U7" i="5"/>
  <c r="U9" i="5"/>
  <c r="U11" i="5"/>
  <c r="U13" i="5"/>
  <c r="U15" i="5"/>
  <c r="U17" i="5"/>
  <c r="U19" i="5"/>
  <c r="U6" i="5"/>
  <c r="U8" i="5"/>
  <c r="U10" i="5"/>
  <c r="U12" i="5"/>
  <c r="U14" i="5"/>
  <c r="U16" i="5"/>
  <c r="U18" i="5"/>
  <c r="U20" i="5"/>
  <c r="S20" i="5"/>
  <c r="S18" i="5"/>
  <c r="S16" i="5"/>
  <c r="S14" i="5"/>
  <c r="S12" i="5"/>
  <c r="S10" i="5"/>
  <c r="S8" i="5"/>
  <c r="S6" i="5"/>
  <c r="S19" i="5"/>
  <c r="S17" i="5"/>
  <c r="S15" i="5"/>
  <c r="S13" i="5"/>
  <c r="S11" i="5"/>
  <c r="S9" i="5"/>
  <c r="N7" i="5"/>
  <c r="N8" i="5"/>
  <c r="N9" i="5"/>
  <c r="N10" i="5"/>
  <c r="M7" i="5"/>
  <c r="M8" i="5"/>
  <c r="M9" i="5"/>
  <c r="M10" i="5"/>
  <c r="F19" i="5"/>
  <c r="F20" i="5"/>
  <c r="E19" i="5"/>
  <c r="E20" i="5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H20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J27" i="3" a="1"/>
  <c r="J27" i="3" s="1"/>
  <c r="J28" i="3"/>
  <c r="J30" i="3"/>
  <c r="J32" i="3"/>
  <c r="J34" i="3"/>
  <c r="J36" i="3"/>
  <c r="J38" i="3"/>
  <c r="J40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27" i="3"/>
  <c r="H2" i="3"/>
  <c r="I2" i="3"/>
  <c r="G9" i="4"/>
  <c r="G8" i="4"/>
  <c r="G18" i="4"/>
  <c r="J8" i="4"/>
  <c r="F21" i="4" a="1"/>
  <c r="F21" i="4"/>
  <c r="G21" i="4"/>
  <c r="F22" i="4"/>
  <c r="G22" i="4"/>
  <c r="F23" i="4"/>
  <c r="G23" i="4"/>
  <c r="F24" i="4"/>
  <c r="G24" i="4"/>
  <c r="F25" i="4"/>
  <c r="G25" i="4"/>
  <c r="G14" i="4"/>
  <c r="G11" i="4"/>
  <c r="G7" i="4"/>
  <c r="G6" i="4"/>
  <c r="G5" i="4"/>
  <c r="G4" i="4"/>
  <c r="G3" i="4"/>
  <c r="F13" i="2"/>
  <c r="H2" i="2"/>
  <c r="F2" i="2"/>
  <c r="F17" i="2"/>
  <c r="F16" i="2"/>
  <c r="F15" i="2"/>
  <c r="F6" i="2"/>
  <c r="F4" i="2"/>
  <c r="H4" i="2"/>
  <c r="H6" i="2"/>
  <c r="F10" i="2"/>
  <c r="F9" i="2"/>
  <c r="E5" i="1"/>
  <c r="E4" i="1"/>
  <c r="E2" i="1"/>
  <c r="E3" i="1"/>
  <c r="J41" i="3" l="1"/>
  <c r="J39" i="3"/>
  <c r="J37" i="3"/>
  <c r="J35" i="3"/>
  <c r="J33" i="3"/>
  <c r="J31" i="3"/>
  <c r="J29" i="3"/>
  <c r="G10" i="4"/>
  <c r="G12" i="4" s="1"/>
  <c r="G15" i="4" s="1"/>
  <c r="E5" i="3"/>
  <c r="E4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M5" i="2"/>
  <c r="L5" i="2"/>
  <c r="L4" i="2"/>
  <c r="L3" i="2"/>
  <c r="H21" i="3" l="1"/>
  <c r="H18" i="3"/>
  <c r="K22" i="3" s="1"/>
  <c r="M3" i="2" l="1"/>
  <c r="G19" i="4"/>
  <c r="K21" i="3"/>
  <c r="M4" i="2" l="1"/>
  <c r="O3" i="2" s="1"/>
  <c r="N3" i="2"/>
  <c r="K23" i="3"/>
  <c r="N4" i="2" l="1"/>
  <c r="P3" i="2" l="1"/>
  <c r="F14" i="5" l="1"/>
  <c r="G14" i="5"/>
  <c r="F15" i="5"/>
  <c r="G15" i="5"/>
  <c r="H14" i="5"/>
  <c r="I14" i="5"/>
  <c r="J14" i="5"/>
  <c r="H6" i="5"/>
  <c r="H7" i="5"/>
  <c r="E9" i="5"/>
  <c r="E7" i="5"/>
  <c r="E6" i="5"/>
  <c r="H8" i="5"/>
  <c r="E8" i="5"/>
</calcChain>
</file>

<file path=xl/sharedStrings.xml><?xml version="1.0" encoding="utf-8"?>
<sst xmlns="http://schemas.openxmlformats.org/spreadsheetml/2006/main" count="268" uniqueCount="174">
  <si>
    <t>Cigarros</t>
  </si>
  <si>
    <t>Exp Vida</t>
  </si>
  <si>
    <t>Excel 2007</t>
  </si>
  <si>
    <t>Excel 2010</t>
  </si>
  <si>
    <t>cov(x,y)</t>
  </si>
  <si>
    <t>COVAR(A2:A16;B2:B16)</t>
  </si>
  <si>
    <t>COVARIAÇÃO.P(A2:A16;B2:B16)</t>
  </si>
  <si>
    <t>VARP(A2:A16)</t>
  </si>
  <si>
    <t>VAR.P(A2:A16)</t>
  </si>
  <si>
    <t>E2/E3</t>
  </si>
  <si>
    <t>MÉDIA(B2:B16)-E4*MÉDIA(A2:A16)</t>
  </si>
  <si>
    <t>VAR(x)</t>
  </si>
  <si>
    <t>CONSTRUIR O GRÁFICO DE DISPERSÃO E ADICIONAR A LINHA DE TENDÊNCIA</t>
  </si>
  <si>
    <t>SQE</t>
  </si>
  <si>
    <t>gl</t>
  </si>
  <si>
    <t>Total</t>
  </si>
  <si>
    <t>DESVQ(B2:B16)</t>
  </si>
  <si>
    <t>N</t>
  </si>
  <si>
    <t>CONT.NÚM(A2:A16)</t>
  </si>
  <si>
    <t>r</t>
  </si>
  <si>
    <t>CORREL(A2:A16;B2:B16)</t>
  </si>
  <si>
    <t>k</t>
  </si>
  <si>
    <t>F</t>
  </si>
  <si>
    <t>alfa</t>
  </si>
  <si>
    <t>p</t>
  </si>
  <si>
    <t>sig</t>
  </si>
  <si>
    <t>N-k</t>
  </si>
  <si>
    <t>N-k-1</t>
  </si>
  <si>
    <t>SQE (SS)</t>
  </si>
  <si>
    <t>VAR (MS)</t>
  </si>
  <si>
    <t>ANOVA</t>
  </si>
  <si>
    <t>Sig</t>
  </si>
  <si>
    <t>Regressão</t>
  </si>
  <si>
    <t>Resíduo</t>
  </si>
  <si>
    <t>MQ</t>
  </si>
  <si>
    <t>Obs</t>
  </si>
  <si>
    <t>X</t>
  </si>
  <si>
    <t>Y</t>
  </si>
  <si>
    <t>Pred Y</t>
  </si>
  <si>
    <t>Leverage</t>
  </si>
  <si>
    <t>Res Stu</t>
  </si>
  <si>
    <t>t-test</t>
  </si>
  <si>
    <t>Cook's D</t>
  </si>
  <si>
    <t>DFFITS</t>
  </si>
  <si>
    <t>Média</t>
  </si>
  <si>
    <t>MÉDIA(P2:P16)</t>
  </si>
  <si>
    <t>DESVQ(P2:P16)</t>
  </si>
  <si>
    <t>Pred Y (PREVISAO)</t>
  </si>
  <si>
    <t>Pred Y (TENDENCIA)</t>
  </si>
  <si>
    <t>coef a</t>
  </si>
  <si>
    <t>intercepto b</t>
  </si>
  <si>
    <t>MSE</t>
  </si>
  <si>
    <t>CONSTRUIR GRÁFICO Resíduos Estudentizados x Pontos de Alavancagem</t>
  </si>
  <si>
    <t>CONSTRUIR GRÁFICO Resíduos Estudentizados x Valores Previstos</t>
  </si>
  <si>
    <t>Investigação de Outliers</t>
  </si>
  <si>
    <t>Investigação de Heterocedasticidade</t>
  </si>
  <si>
    <t>DPx</t>
  </si>
  <si>
    <t>DPy</t>
  </si>
  <si>
    <t>b</t>
  </si>
  <si>
    <t>EPb</t>
  </si>
  <si>
    <t>t</t>
  </si>
  <si>
    <t>t-crit</t>
  </si>
  <si>
    <t>Intervalo de confiança</t>
  </si>
  <si>
    <t>inferior</t>
  </si>
  <si>
    <t>superior</t>
  </si>
  <si>
    <t>a</t>
  </si>
  <si>
    <t>Epa</t>
  </si>
  <si>
    <t>R2</t>
  </si>
  <si>
    <t>EP res</t>
  </si>
  <si>
    <t>SS Res</t>
  </si>
  <si>
    <t>Avaliação coef angular</t>
  </si>
  <si>
    <t>EPa</t>
  </si>
  <si>
    <t>SS Reg</t>
  </si>
  <si>
    <t>EPy-x</t>
  </si>
  <si>
    <t>DESVPAD.A(A2:A16)</t>
  </si>
  <si>
    <t>DESVPAD.A(B2:B16)</t>
  </si>
  <si>
    <t>G4*G6/G5</t>
  </si>
  <si>
    <t>G6*RAIZ((1-G4^2)*(G3-1)/(G3-2))</t>
  </si>
  <si>
    <t>G8/(G5*RAIZ(G3-1))</t>
  </si>
  <si>
    <t>G7/G9</t>
  </si>
  <si>
    <t>G3-2</t>
  </si>
  <si>
    <t>DIST.T.BC(ABS(G10);G11)</t>
  </si>
  <si>
    <t>INV.T.BC(G13;G11)</t>
  </si>
  <si>
    <t>G7-G14*G9</t>
  </si>
  <si>
    <t>G7+G14*G9</t>
  </si>
  <si>
    <t>EPADYX(B2:B16;A2:A16)</t>
  </si>
  <si>
    <t>SResidual</t>
  </si>
  <si>
    <t>[F21:G25]=PROJ.LIN(B2:B16;A2:A16;VERDADEIRO;VERDADEIRO)+Crtl-Shft-Enter</t>
  </si>
  <si>
    <t>F2/G2</t>
  </si>
  <si>
    <t>F6/G6</t>
  </si>
  <si>
    <t>F4/G4</t>
  </si>
  <si>
    <t>F2*F10^2</t>
  </si>
  <si>
    <t>F2-F4</t>
  </si>
  <si>
    <t>H3/H4</t>
  </si>
  <si>
    <t>INV.F.CD(F11;G3;G4)</t>
  </si>
  <si>
    <t>DIST.F.CD(F130;G4;G6)</t>
  </si>
  <si>
    <t>SE(F16&lt;F14;"SIM";"NÃO")</t>
  </si>
  <si>
    <t>"Entre" ou "do Modelo"</t>
  </si>
  <si>
    <t>"Dentro" ou "Residual"</t>
  </si>
  <si>
    <t>alfa (margem de sig.)</t>
  </si>
  <si>
    <t>É significativo?</t>
  </si>
  <si>
    <t>p-valor</t>
  </si>
  <si>
    <t>F-crit (dado alfa)</t>
  </si>
  <si>
    <t>VAR (MS) = SQE/gl</t>
  </si>
  <si>
    <t>Não cruza o zero.</t>
  </si>
  <si>
    <t>SE(G12&lt;G13;"SIM";"NÃO")</t>
  </si>
  <si>
    <t>PREVISÃO(H2;I$2:I$16;H$2:H$16)</t>
  </si>
  <si>
    <t>[J27:J41]=TENDÊNCIA(I2:I16;H2:H16)+Crtl-Shft-Enter</t>
  </si>
  <si>
    <t>Y-Yesp</t>
  </si>
  <si>
    <t>Yesp = aX+b</t>
  </si>
  <si>
    <t>CONT.NÚM(H2:H16)</t>
  </si>
  <si>
    <t>Variáveis Indep.</t>
  </si>
  <si>
    <t>DESVQ(K2:K16)</t>
  </si>
  <si>
    <t>K21/K22</t>
  </si>
  <si>
    <t>1/H$18+(H2-H$20)^2/H$21</t>
  </si>
  <si>
    <t>K2/RAIZ(M2*(1-L2))</t>
  </si>
  <si>
    <t>(K$23-K2^2/((1-L2)*$K$22))*$K$22/($K$22-1)</t>
  </si>
  <si>
    <t>DIST.T.BC(ABS(N2);K$22) [bicaudal]</t>
  </si>
  <si>
    <t>(K2^2/K$23)*(L2/(1-L2)^2)/(H$19+1)</t>
  </si>
  <si>
    <t>N2*RAIZ(L2/(1-L2))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</si>
  <si>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</si>
  <si>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</si>
  <si>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</si>
  <si>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</si>
  <si>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</si>
  <si>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</si>
  <si>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</si>
  <si>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</si>
  <si>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</si>
  <si>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</si>
  <si>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Alpha</t>
  </si>
  <si>
    <t>df</t>
  </si>
  <si>
    <t>SS</t>
  </si>
  <si>
    <t>MS</t>
  </si>
  <si>
    <t>p-value</t>
  </si>
  <si>
    <t>Regression</t>
  </si>
  <si>
    <t>Residual</t>
  </si>
  <si>
    <t>coeff</t>
  </si>
  <si>
    <t>std err</t>
  </si>
  <si>
    <t>t stat</t>
  </si>
  <si>
    <t>lower</t>
  </si>
  <si>
    <t>upper</t>
  </si>
  <si>
    <t>Intercept</t>
  </si>
  <si>
    <t>Durbin-Watson Test</t>
  </si>
  <si>
    <t>Mod MSE</t>
  </si>
  <si>
    <t>RStudent</t>
  </si>
  <si>
    <t>T-Test</t>
  </si>
  <si>
    <t>SSE</t>
  </si>
  <si>
    <t>dfE</t>
  </si>
  <si>
    <t>Shapiro-Wilk Test</t>
  </si>
  <si>
    <t>W-stat</t>
  </si>
  <si>
    <t>alpha</t>
  </si>
  <si>
    <t>normal</t>
  </si>
  <si>
    <t>d'Agostino-Pearson</t>
  </si>
  <si>
    <t>DA-stat</t>
  </si>
  <si>
    <t>QQ Plot - Exp Vida</t>
  </si>
  <si>
    <t>Count</t>
  </si>
  <si>
    <t>Mean</t>
  </si>
  <si>
    <t>Std Dev</t>
  </si>
  <si>
    <t>Interval</t>
  </si>
  <si>
    <t>Data</t>
  </si>
  <si>
    <t>Std Norm</t>
  </si>
  <si>
    <t>Std Data</t>
  </si>
  <si>
    <t>QQ Plot - Cigarros</t>
  </si>
  <si>
    <t>n</t>
  </si>
  <si>
    <t>mean(x)</t>
  </si>
  <si>
    <t>devsq(x)</t>
  </si>
  <si>
    <t>steyx</t>
  </si>
  <si>
    <t>x</t>
  </si>
  <si>
    <t>y</t>
  </si>
  <si>
    <t>conf se</t>
  </si>
  <si>
    <t>pred</t>
  </si>
  <si>
    <t>pred se</t>
  </si>
  <si>
    <t>QQ Plot - SResidual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</si>
</sst>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2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3" fillId="0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Fill="1" applyBorder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5" fillId="0" borderId="6" xfId="0" applyFont="1" applyFill="1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165" fontId="0" fillId="0" borderId="0" xfId="0" applyNumberFormat="1" applyBorder="1"/>
    <xf numFmtId="164" fontId="0" fillId="0" borderId="5" xfId="0" applyNumberFormat="1" applyBorder="1"/>
    <xf numFmtId="164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" fontId="0" fillId="0" borderId="0" xfId="0" applyNumberFormat="1"/>
    <xf numFmtId="0" fontId="3" fillId="0" borderId="0" xfId="0" applyFont="1" applyFill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4" fillId="0" borderId="0" xfId="0" applyNumberFormat="1" applyFont="1"/>
    <xf numFmtId="0" fontId="3" fillId="0" borderId="7" xfId="0" applyFont="1" applyBorder="1"/>
    <xf numFmtId="2" fontId="2" fillId="0" borderId="7" xfId="0" applyNumberFormat="1" applyFont="1" applyBorder="1"/>
    <xf numFmtId="0" fontId="2" fillId="0" borderId="7" xfId="0" applyFont="1" applyBorder="1"/>
    <xf numFmtId="0" fontId="4" fillId="0" borderId="0" xfId="0" applyFont="1" applyBorder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/>
    <xf numFmtId="0" fontId="10" fillId="0" borderId="0" xfId="0" applyFont="1" applyBorder="1" applyAlignment="1">
      <alignment horizontal="right"/>
    </xf>
    <xf numFmtId="0" fontId="11" fillId="0" borderId="9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/>
    <xf numFmtId="0" fontId="12" fillId="0" borderId="0" xfId="0" applyFont="1" applyBorder="1" applyAlignment="1">
      <alignment horizontal="right"/>
    </xf>
    <xf numFmtId="0" fontId="12" fillId="0" borderId="7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/>
    <xf numFmtId="0" fontId="0" fillId="0" borderId="0" xfId="0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19" xfId="0" applyBorder="1"/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13" xfId="0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ysClr val="windowText" lastClr="000000"/>
                </a:solidFill>
              </a:rPr>
              <a:t>Relação Cigarros X Expectativa de 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158275670086694E-2"/>
                  <c:y val="-0.10921375978445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'Inspeção Gráfica'!$A$2:$A$16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'Inspeção Gráfica'!$B$2:$B$16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093424"/>
        <c:axId val="432686240"/>
      </c:scatterChart>
      <c:valAx>
        <c:axId val="437093424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Cigarros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2686240"/>
        <c:crosses val="autoZero"/>
        <c:crossBetween val="midCat"/>
      </c:valAx>
      <c:valAx>
        <c:axId val="432686240"/>
        <c:scaling>
          <c:orientation val="minMax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Expectativa de Vida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Outliers!$L$2:$L$16</c:f>
              <c:numCache>
                <c:formatCode>0.0000</c:formatCode>
                <c:ptCount val="15"/>
                <c:pt idx="0">
                  <c:v>0.16215386504574197</c:v>
                </c:pt>
                <c:pt idx="1">
                  <c:v>7.2634616565358884E-2</c:v>
                </c:pt>
                <c:pt idx="2">
                  <c:v>8.11076318536256E-2</c:v>
                </c:pt>
                <c:pt idx="3">
                  <c:v>0.44332903542702762</c:v>
                </c:pt>
                <c:pt idx="4">
                  <c:v>6.9319088843863202E-2</c:v>
                </c:pt>
                <c:pt idx="5">
                  <c:v>0.12651194203966351</c:v>
                </c:pt>
                <c:pt idx="6">
                  <c:v>0.17587646589304351</c:v>
                </c:pt>
                <c:pt idx="7">
                  <c:v>8.6725609381715474E-2</c:v>
                </c:pt>
                <c:pt idx="8">
                  <c:v>9.9158838337324223E-2</c:v>
                </c:pt>
                <c:pt idx="9">
                  <c:v>6.6740345060477685E-2</c:v>
                </c:pt>
                <c:pt idx="10">
                  <c:v>8.0094553938724125E-2</c:v>
                </c:pt>
                <c:pt idx="11">
                  <c:v>0.17873150365322035</c:v>
                </c:pt>
                <c:pt idx="12">
                  <c:v>0.10910542150181127</c:v>
                </c:pt>
                <c:pt idx="13">
                  <c:v>0.17587646589304351</c:v>
                </c:pt>
                <c:pt idx="14">
                  <c:v>7.2634616565358884E-2</c:v>
                </c:pt>
              </c:numCache>
            </c:numRef>
          </c:xVal>
          <c:yVal>
            <c:numRef>
              <c:f>Outliers!$N$2:$N$16</c:f>
              <c:numCache>
                <c:formatCode>0.0000</c:formatCode>
                <c:ptCount val="15"/>
                <c:pt idx="0">
                  <c:v>-0.34114668806182435</c:v>
                </c:pt>
                <c:pt idx="1">
                  <c:v>0.86774784295350382</c:v>
                </c:pt>
                <c:pt idx="2">
                  <c:v>-1.351113776814177</c:v>
                </c:pt>
                <c:pt idx="3">
                  <c:v>-0.41747423579741888</c:v>
                </c:pt>
                <c:pt idx="4">
                  <c:v>1.3325597725103164</c:v>
                </c:pt>
                <c:pt idx="5">
                  <c:v>0.42932126412379112</c:v>
                </c:pt>
                <c:pt idx="6">
                  <c:v>-1.4718841811600345</c:v>
                </c:pt>
                <c:pt idx="7">
                  <c:v>1.2936066624599456</c:v>
                </c:pt>
                <c:pt idx="8">
                  <c:v>0.27885932646467831</c:v>
                </c:pt>
                <c:pt idx="9">
                  <c:v>0.1517172019269904</c:v>
                </c:pt>
                <c:pt idx="10">
                  <c:v>-1.1849512188942051</c:v>
                </c:pt>
                <c:pt idx="11">
                  <c:v>1.1588420374683235</c:v>
                </c:pt>
                <c:pt idx="12">
                  <c:v>-1.2949003726146744</c:v>
                </c:pt>
                <c:pt idx="13">
                  <c:v>1.2392735154674508</c:v>
                </c:pt>
                <c:pt idx="14">
                  <c:v>-0.8055823697244372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41672"/>
        <c:axId val="438842456"/>
      </c:scatterChart>
      <c:valAx>
        <c:axId val="43884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Pontos de Alavancagem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38842456"/>
        <c:crosses val="autoZero"/>
        <c:crossBetween val="midCat"/>
      </c:valAx>
      <c:valAx>
        <c:axId val="4388424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Resíduos Estudentizados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38841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Outliers!$J$2:$J$16</c:f>
              <c:numCache>
                <c:formatCode>0.00</c:formatCode>
                <c:ptCount val="15"/>
                <c:pt idx="0">
                  <c:v>82.579419168662113</c:v>
                </c:pt>
                <c:pt idx="1">
                  <c:v>71.271811874501125</c:v>
                </c:pt>
                <c:pt idx="2">
                  <c:v>70.015411064038801</c:v>
                </c:pt>
                <c:pt idx="3">
                  <c:v>55.566801743721982</c:v>
                </c:pt>
                <c:pt idx="4">
                  <c:v>75.041014305888126</c:v>
                </c:pt>
                <c:pt idx="5">
                  <c:v>80.69481795296862</c:v>
                </c:pt>
                <c:pt idx="6">
                  <c:v>83.207619573893282</c:v>
                </c:pt>
                <c:pt idx="7">
                  <c:v>69.387210658807632</c:v>
                </c:pt>
                <c:pt idx="8">
                  <c:v>78.810216737275113</c:v>
                </c:pt>
                <c:pt idx="9">
                  <c:v>73.784613495425788</c:v>
                </c:pt>
                <c:pt idx="10">
                  <c:v>76.925615521581619</c:v>
                </c:pt>
                <c:pt idx="11">
                  <c:v>63.733407011727138</c:v>
                </c:pt>
                <c:pt idx="12">
                  <c:v>67.502609443114125</c:v>
                </c:pt>
                <c:pt idx="13">
                  <c:v>83.207619573893282</c:v>
                </c:pt>
                <c:pt idx="14">
                  <c:v>71.271811874501125</c:v>
                </c:pt>
              </c:numCache>
            </c:numRef>
          </c:xVal>
          <c:yVal>
            <c:numRef>
              <c:f>Outliers!$N$2:$N$16</c:f>
              <c:numCache>
                <c:formatCode>0.0000</c:formatCode>
                <c:ptCount val="15"/>
                <c:pt idx="0">
                  <c:v>-0.34114668806182435</c:v>
                </c:pt>
                <c:pt idx="1">
                  <c:v>0.86774784295350382</c:v>
                </c:pt>
                <c:pt idx="2">
                  <c:v>-1.351113776814177</c:v>
                </c:pt>
                <c:pt idx="3">
                  <c:v>-0.41747423579741888</c:v>
                </c:pt>
                <c:pt idx="4">
                  <c:v>1.3325597725103164</c:v>
                </c:pt>
                <c:pt idx="5">
                  <c:v>0.42932126412379112</c:v>
                </c:pt>
                <c:pt idx="6">
                  <c:v>-1.4718841811600345</c:v>
                </c:pt>
                <c:pt idx="7">
                  <c:v>1.2936066624599456</c:v>
                </c:pt>
                <c:pt idx="8">
                  <c:v>0.27885932646467831</c:v>
                </c:pt>
                <c:pt idx="9">
                  <c:v>0.1517172019269904</c:v>
                </c:pt>
                <c:pt idx="10">
                  <c:v>-1.1849512188942051</c:v>
                </c:pt>
                <c:pt idx="11">
                  <c:v>1.1588420374683235</c:v>
                </c:pt>
                <c:pt idx="12">
                  <c:v>-1.2949003726146744</c:v>
                </c:pt>
                <c:pt idx="13">
                  <c:v>1.2392735154674508</c:v>
                </c:pt>
                <c:pt idx="14">
                  <c:v>-0.8055823697244372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41280"/>
        <c:axId val="438846768"/>
      </c:scatterChart>
      <c:valAx>
        <c:axId val="43884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Valores Previstos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38846768"/>
        <c:crosses val="autoZero"/>
        <c:crossBetween val="midCat"/>
      </c:valAx>
      <c:valAx>
        <c:axId val="438846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Resíduos Estudentizados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3884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Exp Vida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'Suplemento-NormalidadeY'!$H$9:$H$23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xVal>
          <c:yVal>
            <c:numRef>
              <c:f>'Suplemento-NormalidadeY'!$I$9:$I$23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077744"/>
        <c:axId val="437076960"/>
      </c:scatterChart>
      <c:valAx>
        <c:axId val="43707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7076960"/>
        <c:crosses val="autoZero"/>
        <c:crossBetween val="midCat"/>
      </c:valAx>
      <c:valAx>
        <c:axId val="437076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707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Cigarros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'Suplemento-NormalidadeX'!$H$8:$H$22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23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35</c:v>
                </c:pt>
                <c:pt idx="14">
                  <c:v>48</c:v>
                </c:pt>
              </c:numCache>
            </c:numRef>
          </c:xVal>
          <c:yVal>
            <c:numRef>
              <c:f>'Suplemento-NormalidadeX'!$I$8:$I$22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085976"/>
        <c:axId val="437085192"/>
      </c:scatterChart>
      <c:valAx>
        <c:axId val="43708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7085192"/>
        <c:crosses val="autoZero"/>
        <c:crossBetween val="midCat"/>
      </c:valAx>
      <c:valAx>
        <c:axId val="437085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7085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SResidual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'Suplemento-NormalidadeSRes'!$G$9:$G$23</c:f>
              <c:numCache>
                <c:formatCode>General</c:formatCode>
                <c:ptCount val="15"/>
                <c:pt idx="0">
                  <c:v>-1.2800032200166471</c:v>
                </c:pt>
                <c:pt idx="1">
                  <c:v>-1.2559008806076071</c:v>
                </c:pt>
                <c:pt idx="2">
                  <c:v>-1.1915971787247408</c:v>
                </c:pt>
                <c:pt idx="3">
                  <c:v>-1.1192439653094854</c:v>
                </c:pt>
                <c:pt idx="4">
                  <c:v>-0.7864653787874416</c:v>
                </c:pt>
                <c:pt idx="5">
                  <c:v>-0.32345100811793692</c:v>
                </c:pt>
                <c:pt idx="6">
                  <c:v>-0.32186882292433971</c:v>
                </c:pt>
                <c:pt idx="7">
                  <c:v>0.15240562485288731</c:v>
                </c:pt>
                <c:pt idx="8">
                  <c:v>0.27459189746795704</c:v>
                </c:pt>
                <c:pt idx="9">
                  <c:v>0.41445937834140623</c:v>
                </c:pt>
                <c:pt idx="10">
                  <c:v>0.84369351768774736</c:v>
                </c:pt>
                <c:pt idx="11">
                  <c:v>1.0366046233363402</c:v>
                </c:pt>
                <c:pt idx="12">
                  <c:v>1.1025367056009368</c:v>
                </c:pt>
                <c:pt idx="13">
                  <c:v>1.2054133895758929</c:v>
                </c:pt>
                <c:pt idx="14">
                  <c:v>1.2488253176250466</c:v>
                </c:pt>
              </c:numCache>
            </c:numRef>
          </c:xVal>
          <c:yVal>
            <c:numRef>
              <c:f>'Suplemento-NormalidadeSRes'!$H$9:$H$23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22040"/>
        <c:axId val="444525568"/>
      </c:scatterChart>
      <c:valAx>
        <c:axId val="44452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525568"/>
        <c:crosses val="autoZero"/>
        <c:crossBetween val="midCat"/>
      </c:valAx>
      <c:valAx>
        <c:axId val="444525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522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17</xdr:row>
      <xdr:rowOff>19050</xdr:rowOff>
    </xdr:from>
    <xdr:to>
      <xdr:col>9</xdr:col>
      <xdr:colOff>123824</xdr:colOff>
      <xdr:row>39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866775</xdr:colOff>
      <xdr:row>0</xdr:row>
      <xdr:rowOff>133350</xdr:rowOff>
    </xdr:from>
    <xdr:to>
      <xdr:col>9</xdr:col>
      <xdr:colOff>504825</xdr:colOff>
      <xdr:row>25</xdr:row>
      <xdr:rowOff>19050</xdr:rowOff>
    </xdr:to>
    <xdr:cxnSp macro="">
      <xdr:nvCxnSpPr>
        <xdr:cNvPr id="2" name="Conector de seta reta 1"/>
        <xdr:cNvCxnSpPr/>
      </xdr:nvCxnSpPr>
      <xdr:spPr>
        <a:xfrm flipH="1">
          <a:off x="13725525" y="133350"/>
          <a:ext cx="809625" cy="464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523876</xdr:colOff>
      <xdr:row>0</xdr:row>
      <xdr:rowOff>152400</xdr:rowOff>
    </xdr:from>
    <xdr:to>
      <xdr:col>9</xdr:col>
      <xdr:colOff>609600</xdr:colOff>
      <xdr:row>24</xdr:row>
      <xdr:rowOff>152400</xdr:rowOff>
    </xdr:to>
    <xdr:cxnSp macro="">
      <xdr:nvCxnSpPr>
        <xdr:cNvPr id="3" name="Conector de seta reta 2"/>
        <xdr:cNvCxnSpPr/>
      </xdr:nvCxnSpPr>
      <xdr:spPr>
        <a:xfrm>
          <a:off x="14554201" y="152400"/>
          <a:ext cx="85724" cy="457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</xdr:row>
      <xdr:rowOff>109537</xdr:rowOff>
    </xdr:from>
    <xdr:to>
      <xdr:col>27</xdr:col>
      <xdr:colOff>314325</xdr:colOff>
      <xdr:row>16</xdr:row>
      <xdr:rowOff>185737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20</xdr:row>
      <xdr:rowOff>19050</xdr:rowOff>
    </xdr:from>
    <xdr:to>
      <xdr:col>27</xdr:col>
      <xdr:colOff>371475</xdr:colOff>
      <xdr:row>34</xdr:row>
      <xdr:rowOff>95250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0</xdr:row>
      <xdr:rowOff>138111</xdr:rowOff>
    </xdr:from>
    <xdr:to>
      <xdr:col>19</xdr:col>
      <xdr:colOff>542925</xdr:colOff>
      <xdr:row>22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0</xdr:row>
      <xdr:rowOff>71437</xdr:rowOff>
    </xdr:from>
    <xdr:to>
      <xdr:col>19</xdr:col>
      <xdr:colOff>514350</xdr:colOff>
      <xdr:row>21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0</xdr:row>
      <xdr:rowOff>119062</xdr:rowOff>
    </xdr:from>
    <xdr:to>
      <xdr:col>16</xdr:col>
      <xdr:colOff>561975</xdr:colOff>
      <xdr:row>15</xdr:row>
      <xdr:rowOff>4762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gonlb/AppData/Roaming/Microsoft/Suplementos/RealStats-Excel2013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AGOSTINO"/>
      <definedName name="DESIGN"/>
      <definedName name="DPTEST"/>
      <definedName name="DURBIN"/>
      <definedName name="LEVERAGE"/>
      <definedName name="QSORT"/>
      <definedName name="RegCoeff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21" sqref="K21"/>
    </sheetView>
  </sheetViews>
  <sheetFormatPr defaultRowHeight="15" x14ac:dyDescent="0.25"/>
  <cols>
    <col min="4" max="4" width="11.7109375" bestFit="1" customWidth="1"/>
    <col min="7" max="7" width="32" bestFit="1" customWidth="1"/>
    <col min="8" max="8" width="29.28515625" bestFit="1" customWidth="1"/>
  </cols>
  <sheetData>
    <row r="1" spans="1:8" x14ac:dyDescent="0.25">
      <c r="A1" s="1" t="s">
        <v>0</v>
      </c>
      <c r="B1" s="1" t="s">
        <v>1</v>
      </c>
      <c r="G1" s="1" t="s">
        <v>2</v>
      </c>
      <c r="H1" s="1" t="s">
        <v>3</v>
      </c>
    </row>
    <row r="2" spans="1:8" x14ac:dyDescent="0.25">
      <c r="A2">
        <v>5</v>
      </c>
      <c r="B2">
        <v>80</v>
      </c>
      <c r="D2" t="s">
        <v>4</v>
      </c>
      <c r="E2">
        <f>_xlfn.COVARIANCE.P(A2:A16,B2:B16)</f>
        <v>-90.946666666666673</v>
      </c>
      <c r="G2" s="2" t="s">
        <v>5</v>
      </c>
      <c r="H2" s="2" t="s">
        <v>6</v>
      </c>
    </row>
    <row r="3" spans="1:8" x14ac:dyDescent="0.25">
      <c r="A3">
        <v>23</v>
      </c>
      <c r="B3">
        <v>78</v>
      </c>
      <c r="D3" t="s">
        <v>11</v>
      </c>
      <c r="E3">
        <f>_xlfn.VAR.P(A2:A16)</f>
        <v>144.77333333333334</v>
      </c>
      <c r="G3" s="2" t="s">
        <v>7</v>
      </c>
      <c r="H3" s="2" t="s">
        <v>8</v>
      </c>
    </row>
    <row r="4" spans="1:8" x14ac:dyDescent="0.25">
      <c r="A4">
        <v>25</v>
      </c>
      <c r="B4">
        <v>60</v>
      </c>
      <c r="D4" t="s">
        <v>49</v>
      </c>
      <c r="E4">
        <f>E2/E3</f>
        <v>-0.62820040523116594</v>
      </c>
      <c r="G4" s="2" t="s">
        <v>9</v>
      </c>
      <c r="H4" s="2"/>
    </row>
    <row r="5" spans="1:8" x14ac:dyDescent="0.25">
      <c r="A5">
        <v>48</v>
      </c>
      <c r="B5">
        <v>53</v>
      </c>
      <c r="D5" t="s">
        <v>50</v>
      </c>
      <c r="E5">
        <f>AVERAGE(B2:B16)-E4*AVERAGE(A2:A16)</f>
        <v>85.720421194817945</v>
      </c>
      <c r="G5" s="2" t="s">
        <v>10</v>
      </c>
      <c r="H5" s="2"/>
    </row>
    <row r="6" spans="1:8" x14ac:dyDescent="0.25">
      <c r="A6">
        <v>17</v>
      </c>
      <c r="B6">
        <v>85</v>
      </c>
    </row>
    <row r="7" spans="1:8" x14ac:dyDescent="0.25">
      <c r="A7">
        <v>8</v>
      </c>
      <c r="B7">
        <v>84</v>
      </c>
    </row>
    <row r="8" spans="1:8" x14ac:dyDescent="0.25">
      <c r="A8">
        <v>4</v>
      </c>
      <c r="B8">
        <v>73</v>
      </c>
      <c r="D8" s="45" t="s">
        <v>12</v>
      </c>
      <c r="E8" s="45"/>
      <c r="F8" s="45"/>
      <c r="G8" s="45"/>
      <c r="H8" s="45"/>
    </row>
    <row r="9" spans="1:8" x14ac:dyDescent="0.25">
      <c r="A9">
        <v>26</v>
      </c>
      <c r="B9">
        <v>79</v>
      </c>
    </row>
    <row r="10" spans="1:8" x14ac:dyDescent="0.25">
      <c r="A10">
        <v>11</v>
      </c>
      <c r="B10">
        <v>81</v>
      </c>
    </row>
    <row r="11" spans="1:8" x14ac:dyDescent="0.25">
      <c r="A11">
        <v>19</v>
      </c>
      <c r="B11">
        <v>75</v>
      </c>
    </row>
    <row r="12" spans="1:8" x14ac:dyDescent="0.25">
      <c r="A12">
        <v>14</v>
      </c>
      <c r="B12">
        <v>68</v>
      </c>
    </row>
    <row r="13" spans="1:8" x14ac:dyDescent="0.25">
      <c r="A13">
        <v>35</v>
      </c>
      <c r="B13">
        <v>72</v>
      </c>
    </row>
    <row r="14" spans="1:8" x14ac:dyDescent="0.25">
      <c r="A14">
        <v>29</v>
      </c>
      <c r="B14">
        <v>58</v>
      </c>
    </row>
    <row r="15" spans="1:8" x14ac:dyDescent="0.25">
      <c r="A15">
        <v>4</v>
      </c>
      <c r="B15">
        <v>92</v>
      </c>
    </row>
    <row r="16" spans="1:8" x14ac:dyDescent="0.25">
      <c r="A16">
        <v>23</v>
      </c>
      <c r="B16">
        <v>65</v>
      </c>
    </row>
  </sheetData>
  <mergeCells count="1">
    <mergeCell ref="D8:H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14" sqref="F14"/>
    </sheetView>
  </sheetViews>
  <sheetFormatPr defaultRowHeight="15" x14ac:dyDescent="0.25"/>
  <cols>
    <col min="5" max="5" width="23" bestFit="1" customWidth="1"/>
    <col min="6" max="6" width="14.42578125" bestFit="1" customWidth="1"/>
    <col min="8" max="8" width="24.140625" bestFit="1" customWidth="1"/>
    <col min="11" max="11" width="10.5703125" bestFit="1" customWidth="1"/>
  </cols>
  <sheetData>
    <row r="1" spans="1:16" x14ac:dyDescent="0.25">
      <c r="A1" s="1" t="s">
        <v>0</v>
      </c>
      <c r="B1" s="1" t="s">
        <v>1</v>
      </c>
      <c r="E1" s="14"/>
      <c r="F1" s="28" t="s">
        <v>28</v>
      </c>
      <c r="G1" s="28" t="s">
        <v>14</v>
      </c>
      <c r="H1" s="28" t="s">
        <v>103</v>
      </c>
    </row>
    <row r="2" spans="1:16" x14ac:dyDescent="0.25">
      <c r="A2">
        <v>5</v>
      </c>
      <c r="B2">
        <v>80</v>
      </c>
      <c r="E2" s="1" t="s">
        <v>15</v>
      </c>
      <c r="F2" s="27">
        <f>DEVSQ(B2:B16)</f>
        <v>1683.7333333333333</v>
      </c>
      <c r="G2" s="5">
        <v>14</v>
      </c>
      <c r="H2" s="27">
        <f>F2/G2</f>
        <v>120.26666666666667</v>
      </c>
      <c r="K2" s="6" t="s">
        <v>30</v>
      </c>
      <c r="L2" s="7" t="s">
        <v>14</v>
      </c>
      <c r="M2" s="7" t="s">
        <v>13</v>
      </c>
      <c r="N2" s="7" t="s">
        <v>34</v>
      </c>
      <c r="O2" s="7" t="s">
        <v>22</v>
      </c>
      <c r="P2" s="8" t="s">
        <v>31</v>
      </c>
    </row>
    <row r="3" spans="1:16" x14ac:dyDescent="0.25">
      <c r="A3">
        <v>23</v>
      </c>
      <c r="B3">
        <v>78</v>
      </c>
      <c r="E3" s="28"/>
      <c r="F3" s="29" t="s">
        <v>16</v>
      </c>
      <c r="G3" s="30" t="s">
        <v>26</v>
      </c>
      <c r="H3" s="29" t="s">
        <v>88</v>
      </c>
      <c r="K3" s="9" t="s">
        <v>32</v>
      </c>
      <c r="L3" s="10">
        <f>G4</f>
        <v>1</v>
      </c>
      <c r="M3" s="11">
        <f>F4</f>
        <v>856.99099281635654</v>
      </c>
      <c r="N3" s="11">
        <f>H4</f>
        <v>856.99099281635654</v>
      </c>
      <c r="O3" s="17">
        <f>F13</f>
        <v>13.475640910862316</v>
      </c>
      <c r="P3" s="18">
        <f>F16</f>
        <v>2.822342990071234E-3</v>
      </c>
    </row>
    <row r="4" spans="1:16" x14ac:dyDescent="0.25">
      <c r="A4">
        <v>25</v>
      </c>
      <c r="B4">
        <v>60</v>
      </c>
      <c r="E4" s="1" t="s">
        <v>97</v>
      </c>
      <c r="F4" s="27">
        <f>F2*F10^2</f>
        <v>856.99099281635654</v>
      </c>
      <c r="G4" s="5">
        <v>1</v>
      </c>
      <c r="H4" s="27">
        <f>F4/G4</f>
        <v>856.99099281635654</v>
      </c>
      <c r="K4" s="9" t="s">
        <v>33</v>
      </c>
      <c r="L4" s="10">
        <f>G6</f>
        <v>13</v>
      </c>
      <c r="M4" s="11">
        <f>F6</f>
        <v>826.74234051697681</v>
      </c>
      <c r="N4" s="11">
        <f>H6</f>
        <v>63.59556465515206</v>
      </c>
      <c r="O4" s="10"/>
      <c r="P4" s="12"/>
    </row>
    <row r="5" spans="1:16" x14ac:dyDescent="0.25">
      <c r="A5">
        <v>48</v>
      </c>
      <c r="B5">
        <v>53</v>
      </c>
      <c r="E5" s="28"/>
      <c r="F5" s="29" t="s">
        <v>91</v>
      </c>
      <c r="G5" s="30" t="s">
        <v>21</v>
      </c>
      <c r="H5" s="29" t="s">
        <v>90</v>
      </c>
      <c r="K5" s="13" t="s">
        <v>15</v>
      </c>
      <c r="L5" s="14">
        <f>G2</f>
        <v>14</v>
      </c>
      <c r="M5" s="15">
        <f>F2</f>
        <v>1683.7333333333333</v>
      </c>
      <c r="N5" s="14"/>
      <c r="O5" s="14"/>
      <c r="P5" s="16"/>
    </row>
    <row r="6" spans="1:16" x14ac:dyDescent="0.25">
      <c r="A6">
        <v>17</v>
      </c>
      <c r="B6">
        <v>85</v>
      </c>
      <c r="E6" s="1" t="s">
        <v>98</v>
      </c>
      <c r="F6" s="27">
        <f>F2-F4</f>
        <v>826.74234051697681</v>
      </c>
      <c r="G6" s="5">
        <v>13</v>
      </c>
      <c r="H6" s="27">
        <f>F6/G6</f>
        <v>63.59556465515206</v>
      </c>
    </row>
    <row r="7" spans="1:16" x14ac:dyDescent="0.25">
      <c r="A7">
        <v>8</v>
      </c>
      <c r="B7">
        <v>84</v>
      </c>
      <c r="E7" s="28"/>
      <c r="F7" s="29" t="s">
        <v>92</v>
      </c>
      <c r="G7" s="30" t="s">
        <v>27</v>
      </c>
      <c r="H7" s="29" t="s">
        <v>89</v>
      </c>
    </row>
    <row r="8" spans="1:16" x14ac:dyDescent="0.25">
      <c r="A8">
        <v>4</v>
      </c>
      <c r="B8">
        <v>73</v>
      </c>
      <c r="F8" s="10"/>
    </row>
    <row r="9" spans="1:16" x14ac:dyDescent="0.25">
      <c r="A9">
        <v>26</v>
      </c>
      <c r="B9">
        <v>79</v>
      </c>
      <c r="E9" s="1" t="s">
        <v>17</v>
      </c>
      <c r="F9" s="31">
        <f>COUNT(A2:A16)</f>
        <v>15</v>
      </c>
      <c r="H9" s="2" t="s">
        <v>18</v>
      </c>
    </row>
    <row r="10" spans="1:16" x14ac:dyDescent="0.25">
      <c r="A10">
        <v>11</v>
      </c>
      <c r="B10">
        <v>81</v>
      </c>
      <c r="E10" s="1" t="s">
        <v>19</v>
      </c>
      <c r="F10" s="2">
        <f>CORREL(A2:A16,B2:B16)</f>
        <v>-0.71343017438658085</v>
      </c>
      <c r="H10" s="2" t="s">
        <v>20</v>
      </c>
    </row>
    <row r="11" spans="1:16" x14ac:dyDescent="0.25">
      <c r="A11">
        <v>19</v>
      </c>
      <c r="B11">
        <v>75</v>
      </c>
      <c r="E11" s="1" t="s">
        <v>21</v>
      </c>
      <c r="F11" s="5">
        <v>1</v>
      </c>
    </row>
    <row r="12" spans="1:16" x14ac:dyDescent="0.25">
      <c r="A12">
        <v>14</v>
      </c>
      <c r="B12">
        <v>68</v>
      </c>
      <c r="F12" s="5"/>
    </row>
    <row r="13" spans="1:16" x14ac:dyDescent="0.25">
      <c r="A13">
        <v>35</v>
      </c>
      <c r="B13">
        <v>72</v>
      </c>
      <c r="E13" s="1" t="s">
        <v>22</v>
      </c>
      <c r="F13" s="5">
        <f>H4/H6</f>
        <v>13.475640910862316</v>
      </c>
      <c r="H13" s="2" t="s">
        <v>93</v>
      </c>
    </row>
    <row r="14" spans="1:16" x14ac:dyDescent="0.25">
      <c r="A14">
        <v>29</v>
      </c>
      <c r="B14">
        <v>58</v>
      </c>
      <c r="E14" s="1" t="s">
        <v>99</v>
      </c>
      <c r="F14" s="5">
        <v>0.05</v>
      </c>
    </row>
    <row r="15" spans="1:16" x14ac:dyDescent="0.25">
      <c r="A15">
        <v>4</v>
      </c>
      <c r="B15">
        <v>92</v>
      </c>
      <c r="E15" s="1" t="s">
        <v>102</v>
      </c>
      <c r="F15" s="5">
        <f>_xlfn.F.INV.RT(F14,G4,G6)</f>
        <v>4.6671927318268525</v>
      </c>
      <c r="H15" s="2" t="s">
        <v>94</v>
      </c>
    </row>
    <row r="16" spans="1:16" x14ac:dyDescent="0.25">
      <c r="A16">
        <v>23</v>
      </c>
      <c r="B16">
        <v>65</v>
      </c>
      <c r="E16" s="1" t="s">
        <v>101</v>
      </c>
      <c r="F16" s="5">
        <f>_xlfn.F.DIST.RT(F13,G4,G6)</f>
        <v>2.822342990071234E-3</v>
      </c>
      <c r="H16" s="2" t="s">
        <v>95</v>
      </c>
    </row>
    <row r="17" spans="5:8" x14ac:dyDescent="0.25">
      <c r="E17" s="1" t="s">
        <v>100</v>
      </c>
      <c r="F17" s="4" t="str">
        <f>IF(F16&lt;F14,"SIM","NÃO")</f>
        <v>SIM</v>
      </c>
      <c r="H17" s="2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9" sqref="G9"/>
    </sheetView>
  </sheetViews>
  <sheetFormatPr defaultRowHeight="15" x14ac:dyDescent="0.25"/>
  <cols>
    <col min="5" max="5" width="15.28515625" bestFit="1" customWidth="1"/>
    <col min="6" max="6" width="14.42578125" bestFit="1" customWidth="1"/>
    <col min="7" max="7" width="11.85546875" customWidth="1"/>
    <col min="8" max="8" width="30.5703125" bestFit="1" customWidth="1"/>
    <col min="9" max="9" width="10.42578125" customWidth="1"/>
    <col min="11" max="11" width="22.28515625" bestFit="1" customWidth="1"/>
    <col min="14" max="14" width="10.7109375" customWidth="1"/>
  </cols>
  <sheetData>
    <row r="1" spans="1:11" x14ac:dyDescent="0.25">
      <c r="A1" s="1" t="s">
        <v>0</v>
      </c>
      <c r="B1" s="1" t="s">
        <v>1</v>
      </c>
      <c r="F1" s="1" t="s">
        <v>70</v>
      </c>
    </row>
    <row r="2" spans="1:11" x14ac:dyDescent="0.25">
      <c r="A2">
        <v>5</v>
      </c>
      <c r="B2">
        <v>80</v>
      </c>
    </row>
    <row r="3" spans="1:11" x14ac:dyDescent="0.25">
      <c r="A3">
        <v>23</v>
      </c>
      <c r="B3">
        <v>78</v>
      </c>
      <c r="F3" s="1" t="s">
        <v>17</v>
      </c>
      <c r="G3">
        <f>COUNT(A2:A16)</f>
        <v>15</v>
      </c>
      <c r="H3" s="34" t="s">
        <v>18</v>
      </c>
    </row>
    <row r="4" spans="1:11" x14ac:dyDescent="0.25">
      <c r="A4">
        <v>25</v>
      </c>
      <c r="B4">
        <v>60</v>
      </c>
      <c r="F4" s="1" t="s">
        <v>19</v>
      </c>
      <c r="G4">
        <f>CORREL(A2:A16,B2:B16)</f>
        <v>-0.71343017438658085</v>
      </c>
      <c r="H4" s="34" t="s">
        <v>20</v>
      </c>
    </row>
    <row r="5" spans="1:11" x14ac:dyDescent="0.25">
      <c r="A5">
        <v>48</v>
      </c>
      <c r="B5">
        <v>53</v>
      </c>
      <c r="F5" s="1" t="s">
        <v>56</v>
      </c>
      <c r="G5">
        <f>_xlfn.STDEV.S(A2:A16)</f>
        <v>12.45448857698644</v>
      </c>
      <c r="H5" s="34" t="s">
        <v>74</v>
      </c>
    </row>
    <row r="6" spans="1:11" x14ac:dyDescent="0.25">
      <c r="A6">
        <v>17</v>
      </c>
      <c r="B6">
        <v>85</v>
      </c>
      <c r="F6" s="1" t="s">
        <v>57</v>
      </c>
      <c r="G6">
        <f>_xlfn.STDEV.S(B2:B16)</f>
        <v>10.966616007988378</v>
      </c>
      <c r="H6" s="34" t="s">
        <v>75</v>
      </c>
    </row>
    <row r="7" spans="1:11" x14ac:dyDescent="0.25">
      <c r="A7">
        <v>8</v>
      </c>
      <c r="B7">
        <v>84</v>
      </c>
      <c r="F7" s="33" t="s">
        <v>65</v>
      </c>
      <c r="G7" s="36">
        <f>G4*G6/G5</f>
        <v>-0.6282004052311666</v>
      </c>
      <c r="H7" s="35" t="s">
        <v>76</v>
      </c>
    </row>
    <row r="8" spans="1:11" x14ac:dyDescent="0.25">
      <c r="A8">
        <v>4</v>
      </c>
      <c r="B8">
        <v>73</v>
      </c>
      <c r="F8" s="1" t="s">
        <v>73</v>
      </c>
      <c r="G8" s="32">
        <f>G6*SQRT((1-G4^2)*(G3-1)/(G3-2))</f>
        <v>7.974682730689179</v>
      </c>
      <c r="H8" s="34" t="s">
        <v>77</v>
      </c>
      <c r="J8">
        <f>STEYX(B2:B16,A2:A16)</f>
        <v>7.9746827306891692</v>
      </c>
      <c r="K8" s="2" t="s">
        <v>85</v>
      </c>
    </row>
    <row r="9" spans="1:11" x14ac:dyDescent="0.25">
      <c r="A9">
        <v>26</v>
      </c>
      <c r="B9">
        <v>79</v>
      </c>
      <c r="F9" s="33" t="s">
        <v>71</v>
      </c>
      <c r="G9" s="36">
        <f>G8/(G5*SQRT(G3-1))</f>
        <v>0.17112895461639752</v>
      </c>
      <c r="H9" s="35" t="s">
        <v>78</v>
      </c>
    </row>
    <row r="10" spans="1:11" x14ac:dyDescent="0.25">
      <c r="A10">
        <v>11</v>
      </c>
      <c r="B10">
        <v>81</v>
      </c>
      <c r="F10" s="1" t="s">
        <v>60</v>
      </c>
      <c r="G10" s="32">
        <f>G7/G9</f>
        <v>-3.6709182653475558</v>
      </c>
      <c r="H10" s="34" t="s">
        <v>79</v>
      </c>
    </row>
    <row r="11" spans="1:11" x14ac:dyDescent="0.25">
      <c r="A11">
        <v>19</v>
      </c>
      <c r="B11">
        <v>75</v>
      </c>
      <c r="F11" s="33" t="s">
        <v>14</v>
      </c>
      <c r="G11" s="36">
        <f>G3-2</f>
        <v>13</v>
      </c>
      <c r="H11" s="35" t="s">
        <v>80</v>
      </c>
    </row>
    <row r="12" spans="1:11" x14ac:dyDescent="0.25">
      <c r="A12">
        <v>14</v>
      </c>
      <c r="B12">
        <v>68</v>
      </c>
      <c r="F12" s="33" t="s">
        <v>24</v>
      </c>
      <c r="G12" s="36">
        <f>_xlfn.T.DIST.2T(ABS(G10),G11)</f>
        <v>2.8223429900712388E-3</v>
      </c>
      <c r="H12" s="35" t="s">
        <v>81</v>
      </c>
    </row>
    <row r="13" spans="1:11" x14ac:dyDescent="0.25">
      <c r="A13">
        <v>35</v>
      </c>
      <c r="B13">
        <v>72</v>
      </c>
      <c r="F13" s="1" t="s">
        <v>23</v>
      </c>
      <c r="G13">
        <v>0.05</v>
      </c>
      <c r="H13" s="34"/>
    </row>
    <row r="14" spans="1:11" x14ac:dyDescent="0.25">
      <c r="A14">
        <v>29</v>
      </c>
      <c r="B14">
        <v>58</v>
      </c>
      <c r="F14" s="1" t="s">
        <v>61</v>
      </c>
      <c r="G14">
        <f>_xlfn.T.INV.2T(G13,G11)</f>
        <v>2.1603686564627926</v>
      </c>
      <c r="H14" s="34" t="s">
        <v>82</v>
      </c>
    </row>
    <row r="15" spans="1:11" x14ac:dyDescent="0.25">
      <c r="A15">
        <v>4</v>
      </c>
      <c r="B15">
        <v>92</v>
      </c>
      <c r="F15" s="1" t="s">
        <v>25</v>
      </c>
      <c r="G15" s="4" t="str">
        <f>IF(G12&lt;G13,"SIM","NÃO")</f>
        <v>SIM</v>
      </c>
      <c r="H15" s="34" t="s">
        <v>105</v>
      </c>
    </row>
    <row r="16" spans="1:11" x14ac:dyDescent="0.25">
      <c r="A16">
        <v>23</v>
      </c>
      <c r="B16">
        <v>65</v>
      </c>
      <c r="H16" s="34"/>
    </row>
    <row r="17" spans="5:14" x14ac:dyDescent="0.25">
      <c r="F17" t="s">
        <v>62</v>
      </c>
      <c r="H17" s="34"/>
    </row>
    <row r="18" spans="5:14" x14ac:dyDescent="0.25">
      <c r="F18" s="1" t="s">
        <v>63</v>
      </c>
      <c r="G18">
        <f>G7-G14*G9</f>
        <v>-0.99790203499767549</v>
      </c>
      <c r="H18" s="34" t="s">
        <v>83</v>
      </c>
      <c r="I18" s="47" t="s">
        <v>104</v>
      </c>
    </row>
    <row r="19" spans="5:14" x14ac:dyDescent="0.25">
      <c r="F19" s="1" t="s">
        <v>64</v>
      </c>
      <c r="G19">
        <f>G7+G14*G9</f>
        <v>-0.25849877546465766</v>
      </c>
      <c r="H19" s="34" t="s">
        <v>84</v>
      </c>
      <c r="I19" s="47"/>
    </row>
    <row r="21" spans="5:14" x14ac:dyDescent="0.25">
      <c r="E21" s="37" t="s">
        <v>65</v>
      </c>
      <c r="F21" s="38">
        <f t="array" ref="F21:G25">LINEST(B2:B16,A2:A16,TRUE,TRUE)</f>
        <v>-0.62820040523116594</v>
      </c>
      <c r="G21" s="41">
        <v>85.720421194817945</v>
      </c>
      <c r="H21" s="42" t="s">
        <v>58</v>
      </c>
      <c r="I21" s="46" t="s">
        <v>87</v>
      </c>
      <c r="J21" s="46"/>
      <c r="K21" s="46"/>
      <c r="L21" s="46"/>
      <c r="M21" s="46"/>
      <c r="N21" s="46"/>
    </row>
    <row r="22" spans="5:14" x14ac:dyDescent="0.25">
      <c r="E22" s="37" t="s">
        <v>66</v>
      </c>
      <c r="F22" s="39">
        <v>0.17112895461639729</v>
      </c>
      <c r="G22" s="43">
        <v>3.9065908075799731</v>
      </c>
      <c r="H22" s="42" t="s">
        <v>59</v>
      </c>
    </row>
    <row r="23" spans="5:14" x14ac:dyDescent="0.25">
      <c r="E23" s="37" t="s">
        <v>67</v>
      </c>
      <c r="F23" s="39">
        <v>0.50898261372526721</v>
      </c>
      <c r="G23" s="43">
        <v>7.9746827306891683</v>
      </c>
      <c r="H23" s="42" t="s">
        <v>68</v>
      </c>
    </row>
    <row r="24" spans="5:14" x14ac:dyDescent="0.25">
      <c r="E24" s="37" t="s">
        <v>22</v>
      </c>
      <c r="F24" s="39">
        <v>13.475640910862317</v>
      </c>
      <c r="G24" s="43">
        <v>13</v>
      </c>
      <c r="H24" s="42" t="s">
        <v>14</v>
      </c>
    </row>
    <row r="25" spans="5:14" x14ac:dyDescent="0.25">
      <c r="E25" s="37" t="s">
        <v>72</v>
      </c>
      <c r="F25" s="40">
        <v>856.99099281635665</v>
      </c>
      <c r="G25" s="44">
        <v>826.7423405169767</v>
      </c>
      <c r="H25" s="42" t="s">
        <v>69</v>
      </c>
    </row>
  </sheetData>
  <mergeCells count="2">
    <mergeCell ref="I21:N21"/>
    <mergeCell ref="I18:I1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opLeftCell="K1" workbookViewId="0">
      <selection activeCell="Q2" sqref="Q2"/>
    </sheetView>
  </sheetViews>
  <sheetFormatPr defaultRowHeight="15" x14ac:dyDescent="0.25"/>
  <cols>
    <col min="4" max="4" width="11.7109375" bestFit="1" customWidth="1"/>
    <col min="6" max="6" width="12.5703125" customWidth="1"/>
    <col min="9" max="9" width="18.5703125" bestFit="1" customWidth="1"/>
    <col min="10" max="10" width="18.85546875" bestFit="1" customWidth="1"/>
  </cols>
  <sheetData>
    <row r="1" spans="1:29" x14ac:dyDescent="0.25">
      <c r="A1" s="1" t="s">
        <v>0</v>
      </c>
      <c r="B1" s="1" t="s">
        <v>1</v>
      </c>
      <c r="C1" s="1"/>
      <c r="D1" s="1"/>
      <c r="E1" s="1"/>
      <c r="G1" s="1" t="s">
        <v>35</v>
      </c>
      <c r="H1" s="1" t="s">
        <v>36</v>
      </c>
      <c r="I1" s="1" t="s">
        <v>37</v>
      </c>
      <c r="J1" s="1" t="s">
        <v>38</v>
      </c>
      <c r="K1" s="1" t="s">
        <v>33</v>
      </c>
      <c r="L1" s="1" t="s">
        <v>39</v>
      </c>
      <c r="M1" s="1" t="s">
        <v>51</v>
      </c>
      <c r="N1" s="23" t="s">
        <v>40</v>
      </c>
      <c r="O1" s="1" t="s">
        <v>41</v>
      </c>
      <c r="P1" s="1" t="s">
        <v>42</v>
      </c>
      <c r="Q1" s="1" t="s">
        <v>43</v>
      </c>
    </row>
    <row r="2" spans="1:29" x14ac:dyDescent="0.25">
      <c r="A2">
        <v>5</v>
      </c>
      <c r="B2">
        <v>80</v>
      </c>
      <c r="G2">
        <v>1</v>
      </c>
      <c r="H2">
        <f>A2</f>
        <v>5</v>
      </c>
      <c r="I2">
        <f>B2</f>
        <v>80</v>
      </c>
      <c r="J2" s="3">
        <f>$E$4*H2+$E$5</f>
        <v>82.579419168662113</v>
      </c>
      <c r="K2" s="3">
        <f>I2-J2</f>
        <v>-2.5794191686621133</v>
      </c>
      <c r="L2" s="19">
        <f>1/H$18+(H2-H$20)^2/H$21</f>
        <v>0.16215386504574197</v>
      </c>
      <c r="M2" s="19">
        <f>(K$23-K2^2/((1-L2)*$K$22))*$K$22/($K$22-1)</f>
        <v>68.233438370218366</v>
      </c>
      <c r="N2" s="19">
        <f>K2/SQRT(M2*(1-L2))</f>
        <v>-0.34114668806182435</v>
      </c>
      <c r="O2" s="20">
        <f>_xlfn.T.DIST.2T(ABS(N2),K$22)</f>
        <v>0.73844391303179191</v>
      </c>
      <c r="P2" s="20">
        <f>(K2^2/K$23)*(L2/(1-L2)^2)/(H$19+1)</f>
        <v>1.2083306344603053E-2</v>
      </c>
      <c r="Q2" s="19">
        <f>N2*SQRT(L2/(1-L2))</f>
        <v>-0.15007995006224781</v>
      </c>
      <c r="R2" s="2" t="s">
        <v>119</v>
      </c>
      <c r="U2" t="s">
        <v>52</v>
      </c>
      <c r="AC2" t="s">
        <v>54</v>
      </c>
    </row>
    <row r="3" spans="1:29" x14ac:dyDescent="0.25">
      <c r="A3">
        <v>23</v>
      </c>
      <c r="B3">
        <v>78</v>
      </c>
      <c r="G3">
        <v>2</v>
      </c>
      <c r="H3">
        <f t="shared" ref="H3:H16" si="0">A3</f>
        <v>23</v>
      </c>
      <c r="I3">
        <f t="shared" ref="I3:I16" si="1">B3</f>
        <v>78</v>
      </c>
      <c r="J3" s="3">
        <f t="shared" ref="J3:J16" si="2">$E$4*H3+$E$5</f>
        <v>71.271811874501125</v>
      </c>
      <c r="K3" s="3">
        <f t="shared" ref="K3:K16" si="3">I3-J3</f>
        <v>6.7281881254988747</v>
      </c>
      <c r="L3" s="19">
        <f t="shared" ref="L3:L16" si="4">1/H$18+(H3-H$20)^2/H$21</f>
        <v>7.2634616565358884E-2</v>
      </c>
      <c r="M3" s="19">
        <f t="shared" ref="M3:M16" si="5">(K$23-K3^2/((1-L3)*$K$22))*$K$22/($K$22-1)</f>
        <v>64.827352577683584</v>
      </c>
      <c r="N3" s="19">
        <f t="shared" ref="N3:N16" si="6">K3/SQRT(M3*(1-L3))</f>
        <v>0.86774784295350382</v>
      </c>
      <c r="O3" s="20">
        <f t="shared" ref="O3:O16" si="7">_xlfn.T.DIST.2T(ABS(N3),K$22)</f>
        <v>0.40126717937513812</v>
      </c>
      <c r="P3" s="20">
        <f t="shared" ref="P3:P16" si="8">(K3^2/K$23)*(L3/(1-L3)^2)/(H$19+1)</f>
        <v>3.0059469800597535E-2</v>
      </c>
      <c r="Q3" s="19">
        <f t="shared" ref="Q3:Q16" si="9">N3*SQRT(L3/(1-L3))</f>
        <v>0.24285101704604023</v>
      </c>
    </row>
    <row r="4" spans="1:29" x14ac:dyDescent="0.25">
      <c r="A4">
        <v>25</v>
      </c>
      <c r="B4">
        <v>60</v>
      </c>
      <c r="D4" t="s">
        <v>49</v>
      </c>
      <c r="E4">
        <f>'Inspeção Gráfica'!E4</f>
        <v>-0.62820040523116594</v>
      </c>
      <c r="G4">
        <v>3</v>
      </c>
      <c r="H4">
        <f t="shared" si="0"/>
        <v>25</v>
      </c>
      <c r="I4">
        <f t="shared" si="1"/>
        <v>60</v>
      </c>
      <c r="J4" s="3">
        <f t="shared" si="2"/>
        <v>70.015411064038801</v>
      </c>
      <c r="K4" s="3">
        <f t="shared" si="3"/>
        <v>-10.015411064038801</v>
      </c>
      <c r="L4" s="19">
        <f t="shared" si="4"/>
        <v>8.11076318536256E-2</v>
      </c>
      <c r="M4" s="19">
        <f t="shared" si="5"/>
        <v>59.798331774243827</v>
      </c>
      <c r="N4" s="19">
        <f t="shared" si="6"/>
        <v>-1.351113776814177</v>
      </c>
      <c r="O4" s="20">
        <f t="shared" si="7"/>
        <v>0.19970578171404119</v>
      </c>
      <c r="P4" s="20">
        <f t="shared" si="8"/>
        <v>7.5755325130713549E-2</v>
      </c>
      <c r="Q4" s="19">
        <f t="shared" si="9"/>
        <v>-0.40141210108054143</v>
      </c>
    </row>
    <row r="5" spans="1:29" x14ac:dyDescent="0.25">
      <c r="A5">
        <v>48</v>
      </c>
      <c r="B5">
        <v>53</v>
      </c>
      <c r="D5" t="s">
        <v>50</v>
      </c>
      <c r="E5">
        <f>'Inspeção Gráfica'!E5</f>
        <v>85.720421194817945</v>
      </c>
      <c r="G5">
        <v>4</v>
      </c>
      <c r="H5">
        <f t="shared" si="0"/>
        <v>48</v>
      </c>
      <c r="I5">
        <f t="shared" si="1"/>
        <v>53</v>
      </c>
      <c r="J5" s="3">
        <f t="shared" si="2"/>
        <v>55.566801743721982</v>
      </c>
      <c r="K5" s="3">
        <f t="shared" si="3"/>
        <v>-2.5668017437219817</v>
      </c>
      <c r="L5" s="19">
        <f t="shared" si="4"/>
        <v>0.44332903542702762</v>
      </c>
      <c r="M5" s="19">
        <f t="shared" si="5"/>
        <v>67.908904575451743</v>
      </c>
      <c r="N5" s="19">
        <f t="shared" si="6"/>
        <v>-0.41747423579741888</v>
      </c>
      <c r="O5" s="20">
        <f t="shared" si="7"/>
        <v>0.68314401724421692</v>
      </c>
      <c r="P5" s="20">
        <f t="shared" si="8"/>
        <v>7.4106595989850185E-2</v>
      </c>
      <c r="Q5" s="19">
        <f t="shared" si="9"/>
        <v>-0.37255764665172408</v>
      </c>
    </row>
    <row r="6" spans="1:29" x14ac:dyDescent="0.25">
      <c r="A6">
        <v>17</v>
      </c>
      <c r="B6">
        <v>85</v>
      </c>
      <c r="G6">
        <v>5</v>
      </c>
      <c r="H6">
        <f t="shared" si="0"/>
        <v>17</v>
      </c>
      <c r="I6">
        <f t="shared" si="1"/>
        <v>85</v>
      </c>
      <c r="J6" s="3">
        <f t="shared" si="2"/>
        <v>75.041014305888126</v>
      </c>
      <c r="K6" s="3">
        <f t="shared" si="3"/>
        <v>9.958985694111874</v>
      </c>
      <c r="L6" s="19">
        <f t="shared" si="4"/>
        <v>6.9319088843863202E-2</v>
      </c>
      <c r="M6" s="19">
        <f t="shared" si="5"/>
        <v>60.014475304569622</v>
      </c>
      <c r="N6" s="19">
        <f t="shared" si="6"/>
        <v>1.3325597725103164</v>
      </c>
      <c r="O6" s="20">
        <f t="shared" si="7"/>
        <v>0.20556315743369466</v>
      </c>
      <c r="P6" s="20">
        <f t="shared" si="8"/>
        <v>6.2405752807508326E-2</v>
      </c>
      <c r="Q6" s="19">
        <f t="shared" si="9"/>
        <v>0.36367438927449464</v>
      </c>
    </row>
    <row r="7" spans="1:29" x14ac:dyDescent="0.25">
      <c r="A7">
        <v>8</v>
      </c>
      <c r="B7">
        <v>84</v>
      </c>
      <c r="G7">
        <v>6</v>
      </c>
      <c r="H7">
        <f t="shared" si="0"/>
        <v>8</v>
      </c>
      <c r="I7">
        <f t="shared" si="1"/>
        <v>84</v>
      </c>
      <c r="J7" s="3">
        <f t="shared" si="2"/>
        <v>80.69481795296862</v>
      </c>
      <c r="K7" s="3">
        <f t="shared" si="3"/>
        <v>3.30518204703138</v>
      </c>
      <c r="L7" s="19">
        <f t="shared" si="4"/>
        <v>0.12651194203966351</v>
      </c>
      <c r="M7" s="19">
        <f t="shared" si="5"/>
        <v>67.852991483030465</v>
      </c>
      <c r="N7" s="19">
        <f t="shared" si="6"/>
        <v>0.42932126412379112</v>
      </c>
      <c r="O7" s="20">
        <f t="shared" si="7"/>
        <v>0.67471904030617647</v>
      </c>
      <c r="P7" s="20">
        <f t="shared" si="8"/>
        <v>1.4241361993178924E-2</v>
      </c>
      <c r="Q7" s="19">
        <f t="shared" si="9"/>
        <v>0.16338781869922167</v>
      </c>
    </row>
    <row r="8" spans="1:29" x14ac:dyDescent="0.25">
      <c r="A8">
        <v>4</v>
      </c>
      <c r="B8">
        <v>73</v>
      </c>
      <c r="G8">
        <v>7</v>
      </c>
      <c r="H8">
        <f t="shared" si="0"/>
        <v>4</v>
      </c>
      <c r="I8">
        <f t="shared" si="1"/>
        <v>73</v>
      </c>
      <c r="J8" s="3">
        <f t="shared" si="2"/>
        <v>83.207619573893282</v>
      </c>
      <c r="K8" s="3">
        <f t="shared" si="3"/>
        <v>-10.207619573893282</v>
      </c>
      <c r="L8" s="19">
        <f t="shared" si="4"/>
        <v>0.17587646589304351</v>
      </c>
      <c r="M8" s="19">
        <f t="shared" si="5"/>
        <v>58.35920407276339</v>
      </c>
      <c r="N8" s="19">
        <f t="shared" si="6"/>
        <v>-1.4718841811600345</v>
      </c>
      <c r="O8" s="20">
        <f t="shared" si="7"/>
        <v>0.16484365667877993</v>
      </c>
      <c r="P8" s="20">
        <f t="shared" si="8"/>
        <v>0.21213641556569079</v>
      </c>
      <c r="Q8" s="19">
        <f t="shared" si="9"/>
        <v>-0.67995683668488194</v>
      </c>
    </row>
    <row r="9" spans="1:29" x14ac:dyDescent="0.25">
      <c r="A9">
        <v>26</v>
      </c>
      <c r="B9">
        <v>79</v>
      </c>
      <c r="G9">
        <v>8</v>
      </c>
      <c r="H9">
        <f t="shared" si="0"/>
        <v>26</v>
      </c>
      <c r="I9">
        <f t="shared" si="1"/>
        <v>79</v>
      </c>
      <c r="J9" s="3">
        <f t="shared" si="2"/>
        <v>69.387210658807632</v>
      </c>
      <c r="K9" s="3">
        <f t="shared" si="3"/>
        <v>9.6127893411923679</v>
      </c>
      <c r="L9" s="19">
        <f t="shared" si="4"/>
        <v>8.6725609381715474E-2</v>
      </c>
      <c r="M9" s="19">
        <f t="shared" si="5"/>
        <v>60.463472161529211</v>
      </c>
      <c r="N9" s="19">
        <f t="shared" si="6"/>
        <v>1.2936066624599456</v>
      </c>
      <c r="O9" s="20">
        <f t="shared" si="7"/>
        <v>0.21831419276799974</v>
      </c>
      <c r="P9" s="20">
        <f t="shared" si="8"/>
        <v>7.5541712807570827E-2</v>
      </c>
      <c r="Q9" s="19">
        <f t="shared" si="9"/>
        <v>0.39863486870293313</v>
      </c>
    </row>
    <row r="10" spans="1:29" x14ac:dyDescent="0.25">
      <c r="A10">
        <v>11</v>
      </c>
      <c r="B10">
        <v>81</v>
      </c>
      <c r="G10">
        <v>9</v>
      </c>
      <c r="H10">
        <f t="shared" si="0"/>
        <v>11</v>
      </c>
      <c r="I10">
        <f t="shared" si="1"/>
        <v>81</v>
      </c>
      <c r="J10" s="3">
        <f t="shared" si="2"/>
        <v>78.810216737275113</v>
      </c>
      <c r="K10" s="3">
        <f t="shared" si="3"/>
        <v>2.1897832627248874</v>
      </c>
      <c r="L10" s="19">
        <f t="shared" si="4"/>
        <v>9.9158838337324223E-2</v>
      </c>
      <c r="M10" s="19">
        <f t="shared" si="5"/>
        <v>68.451614185750614</v>
      </c>
      <c r="N10" s="19">
        <f t="shared" si="6"/>
        <v>0.27885932646467831</v>
      </c>
      <c r="O10" s="20">
        <f t="shared" si="7"/>
        <v>0.78473946633758418</v>
      </c>
      <c r="P10" s="20">
        <f t="shared" si="8"/>
        <v>4.6065991909097354E-3</v>
      </c>
      <c r="Q10" s="19">
        <f t="shared" si="9"/>
        <v>9.2518115540735024E-2</v>
      </c>
    </row>
    <row r="11" spans="1:29" x14ac:dyDescent="0.25">
      <c r="A11">
        <v>19</v>
      </c>
      <c r="B11">
        <v>75</v>
      </c>
      <c r="G11">
        <v>10</v>
      </c>
      <c r="H11">
        <f t="shared" si="0"/>
        <v>19</v>
      </c>
      <c r="I11">
        <f t="shared" si="1"/>
        <v>75</v>
      </c>
      <c r="J11" s="3">
        <f t="shared" si="2"/>
        <v>73.784613495425788</v>
      </c>
      <c r="K11" s="3">
        <f t="shared" si="3"/>
        <v>1.2153865045742123</v>
      </c>
      <c r="L11" s="19">
        <f t="shared" si="4"/>
        <v>6.6740345060477685E-2</v>
      </c>
      <c r="M11" s="19">
        <f t="shared" si="5"/>
        <v>68.763294956140328</v>
      </c>
      <c r="N11" s="19">
        <f t="shared" si="6"/>
        <v>0.1517172019269904</v>
      </c>
      <c r="O11" s="20">
        <f t="shared" si="7"/>
        <v>0.88173917879630681</v>
      </c>
      <c r="P11" s="20">
        <f t="shared" si="8"/>
        <v>8.8992920763197045E-4</v>
      </c>
      <c r="Q11" s="19">
        <f t="shared" si="9"/>
        <v>4.0572129462719875E-2</v>
      </c>
    </row>
    <row r="12" spans="1:29" x14ac:dyDescent="0.25">
      <c r="A12">
        <v>14</v>
      </c>
      <c r="B12">
        <v>68</v>
      </c>
      <c r="G12">
        <v>11</v>
      </c>
      <c r="H12">
        <f t="shared" si="0"/>
        <v>14</v>
      </c>
      <c r="I12">
        <f t="shared" si="1"/>
        <v>68</v>
      </c>
      <c r="J12" s="3">
        <f t="shared" si="2"/>
        <v>76.925615521581619</v>
      </c>
      <c r="K12" s="3">
        <f t="shared" si="3"/>
        <v>-8.9256155215816193</v>
      </c>
      <c r="L12" s="19">
        <f t="shared" si="4"/>
        <v>8.0094553938724125E-2</v>
      </c>
      <c r="M12" s="19">
        <f t="shared" si="5"/>
        <v>61.67827465376272</v>
      </c>
      <c r="N12" s="19">
        <f t="shared" si="6"/>
        <v>-1.1849512188942051</v>
      </c>
      <c r="O12" s="20">
        <f t="shared" si="7"/>
        <v>0.25724721767103403</v>
      </c>
      <c r="P12" s="20">
        <f t="shared" si="8"/>
        <v>5.9283813766001274E-2</v>
      </c>
      <c r="Q12" s="19">
        <f t="shared" si="9"/>
        <v>-0.34964745427899246</v>
      </c>
    </row>
    <row r="13" spans="1:29" x14ac:dyDescent="0.25">
      <c r="A13">
        <v>35</v>
      </c>
      <c r="B13">
        <v>72</v>
      </c>
      <c r="G13">
        <v>12</v>
      </c>
      <c r="H13">
        <f t="shared" si="0"/>
        <v>35</v>
      </c>
      <c r="I13">
        <f t="shared" si="1"/>
        <v>72</v>
      </c>
      <c r="J13" s="3">
        <f t="shared" si="2"/>
        <v>63.733407011727138</v>
      </c>
      <c r="K13" s="3">
        <f t="shared" si="3"/>
        <v>8.2665929882728619</v>
      </c>
      <c r="L13" s="19">
        <f t="shared" si="4"/>
        <v>0.17873150365322035</v>
      </c>
      <c r="M13" s="19">
        <f t="shared" si="5"/>
        <v>61.961149322169035</v>
      </c>
      <c r="N13" s="19">
        <f t="shared" si="6"/>
        <v>1.1588420374683235</v>
      </c>
      <c r="O13" s="20">
        <f t="shared" si="7"/>
        <v>0.26736523095199272</v>
      </c>
      <c r="P13" s="20">
        <f t="shared" si="8"/>
        <v>0.14237281399753909</v>
      </c>
      <c r="Q13" s="19">
        <f t="shared" si="9"/>
        <v>0.54060768324014774</v>
      </c>
    </row>
    <row r="14" spans="1:29" x14ac:dyDescent="0.25">
      <c r="A14">
        <v>29</v>
      </c>
      <c r="B14">
        <v>58</v>
      </c>
      <c r="G14">
        <v>13</v>
      </c>
      <c r="H14">
        <f t="shared" si="0"/>
        <v>29</v>
      </c>
      <c r="I14">
        <f t="shared" si="1"/>
        <v>58</v>
      </c>
      <c r="J14" s="3">
        <f t="shared" si="2"/>
        <v>67.502609443114125</v>
      </c>
      <c r="K14" s="3">
        <f t="shared" si="3"/>
        <v>-9.5026094431141246</v>
      </c>
      <c r="L14" s="19">
        <f t="shared" si="4"/>
        <v>0.10910542150181127</v>
      </c>
      <c r="M14" s="19">
        <f t="shared" si="5"/>
        <v>60.448667585573183</v>
      </c>
      <c r="N14" s="19">
        <f t="shared" si="6"/>
        <v>-1.2949003726146744</v>
      </c>
      <c r="O14" s="20">
        <f t="shared" si="7"/>
        <v>0.21788071079848823</v>
      </c>
      <c r="P14" s="20">
        <f t="shared" si="8"/>
        <v>9.7593891642462086E-2</v>
      </c>
      <c r="Q14" s="19">
        <f t="shared" si="9"/>
        <v>-0.45315456934643972</v>
      </c>
    </row>
    <row r="15" spans="1:29" x14ac:dyDescent="0.25">
      <c r="A15">
        <v>4</v>
      </c>
      <c r="B15">
        <v>92</v>
      </c>
      <c r="G15">
        <v>14</v>
      </c>
      <c r="H15">
        <f t="shared" si="0"/>
        <v>4</v>
      </c>
      <c r="I15">
        <f t="shared" si="1"/>
        <v>92</v>
      </c>
      <c r="J15" s="3">
        <f t="shared" si="2"/>
        <v>83.207619573893282</v>
      </c>
      <c r="K15" s="3">
        <f t="shared" si="3"/>
        <v>8.7923804261067176</v>
      </c>
      <c r="L15" s="19">
        <f t="shared" si="4"/>
        <v>0.17587646589304351</v>
      </c>
      <c r="M15" s="19">
        <f t="shared" si="5"/>
        <v>61.07820823244549</v>
      </c>
      <c r="N15" s="19">
        <f t="shared" si="6"/>
        <v>1.2392735154674508</v>
      </c>
      <c r="O15" s="20">
        <f t="shared" si="7"/>
        <v>0.23715188528573186</v>
      </c>
      <c r="P15" s="20">
        <f t="shared" si="8"/>
        <v>0.15739075395985558</v>
      </c>
      <c r="Q15" s="19">
        <f t="shared" si="9"/>
        <v>0.57249918855740545</v>
      </c>
    </row>
    <row r="16" spans="1:29" x14ac:dyDescent="0.25">
      <c r="A16">
        <v>23</v>
      </c>
      <c r="B16">
        <v>65</v>
      </c>
      <c r="G16">
        <v>15</v>
      </c>
      <c r="H16">
        <f t="shared" si="0"/>
        <v>23</v>
      </c>
      <c r="I16">
        <f t="shared" si="1"/>
        <v>65</v>
      </c>
      <c r="J16" s="3">
        <f t="shared" si="2"/>
        <v>71.271811874501125</v>
      </c>
      <c r="K16" s="3">
        <f t="shared" si="3"/>
        <v>-6.2718118745011253</v>
      </c>
      <c r="L16" s="19">
        <f t="shared" si="4"/>
        <v>7.2634616565358884E-2</v>
      </c>
      <c r="M16" s="19">
        <f t="shared" si="5"/>
        <v>65.360483977754228</v>
      </c>
      <c r="N16" s="19">
        <f t="shared" si="6"/>
        <v>-0.8055823697244372</v>
      </c>
      <c r="O16" s="20">
        <f t="shared" si="7"/>
        <v>0.43497186113925157</v>
      </c>
      <c r="P16" s="20">
        <f t="shared" si="8"/>
        <v>2.6119875935669744E-2</v>
      </c>
      <c r="Q16" s="19">
        <f t="shared" si="9"/>
        <v>-0.225453165214519</v>
      </c>
    </row>
    <row r="17" spans="6:29" x14ac:dyDescent="0.25">
      <c r="J17" s="2" t="s">
        <v>109</v>
      </c>
      <c r="K17" s="2" t="s">
        <v>108</v>
      </c>
      <c r="N17" s="2" t="s">
        <v>115</v>
      </c>
      <c r="P17" s="2" t="s">
        <v>118</v>
      </c>
    </row>
    <row r="18" spans="6:29" x14ac:dyDescent="0.25">
      <c r="G18" t="s">
        <v>17</v>
      </c>
      <c r="H18">
        <f>COUNT(H2:H16)</f>
        <v>15</v>
      </c>
      <c r="I18" s="2" t="s">
        <v>110</v>
      </c>
      <c r="L18" s="2" t="s">
        <v>114</v>
      </c>
      <c r="O18" s="21" t="s">
        <v>117</v>
      </c>
    </row>
    <row r="19" spans="6:29" x14ac:dyDescent="0.25">
      <c r="G19" t="s">
        <v>21</v>
      </c>
      <c r="H19">
        <v>1</v>
      </c>
      <c r="I19" s="2" t="s">
        <v>111</v>
      </c>
      <c r="M19" s="2" t="s">
        <v>116</v>
      </c>
    </row>
    <row r="20" spans="6:29" x14ac:dyDescent="0.25">
      <c r="G20" t="s">
        <v>44</v>
      </c>
      <c r="H20" s="3">
        <f>AVERAGE(H2:H16)</f>
        <v>19.399999999999999</v>
      </c>
      <c r="I20" s="2" t="s">
        <v>45</v>
      </c>
      <c r="U20" t="s">
        <v>53</v>
      </c>
    </row>
    <row r="21" spans="6:29" x14ac:dyDescent="0.25">
      <c r="G21" t="s">
        <v>13</v>
      </c>
      <c r="H21" s="3">
        <f>DEVSQ(H2:H16)</f>
        <v>2171.6000000000004</v>
      </c>
      <c r="I21" s="2" t="s">
        <v>46</v>
      </c>
      <c r="K21" s="3">
        <f>DEVSQ(K2:K16)</f>
        <v>826.74234051697647</v>
      </c>
      <c r="L21" s="2" t="s">
        <v>112</v>
      </c>
    </row>
    <row r="22" spans="6:29" x14ac:dyDescent="0.25">
      <c r="G22" t="s">
        <v>14</v>
      </c>
      <c r="K22" s="22">
        <f>H18-H19-1</f>
        <v>13</v>
      </c>
      <c r="L22" s="2" t="s">
        <v>27</v>
      </c>
      <c r="AC22" t="s">
        <v>55</v>
      </c>
    </row>
    <row r="23" spans="6:29" x14ac:dyDescent="0.25">
      <c r="G23" t="s">
        <v>29</v>
      </c>
      <c r="K23" s="3">
        <f>K21/K22</f>
        <v>63.595564655152039</v>
      </c>
      <c r="L23" s="2" t="s">
        <v>113</v>
      </c>
    </row>
    <row r="26" spans="6:29" x14ac:dyDescent="0.25">
      <c r="I26" t="s">
        <v>47</v>
      </c>
      <c r="J26" t="s">
        <v>48</v>
      </c>
    </row>
    <row r="27" spans="6:29" x14ac:dyDescent="0.25">
      <c r="F27" s="2" t="s">
        <v>106</v>
      </c>
      <c r="I27" s="3">
        <f>FORECAST(H2,I$2:I$16,H$2:H$16)</f>
        <v>82.579419168662113</v>
      </c>
      <c r="J27" s="24">
        <f t="array" ref="J27:J41">TREND(I2:I16,H2:H16)</f>
        <v>82.579419168662113</v>
      </c>
      <c r="K27" s="2" t="s">
        <v>107</v>
      </c>
    </row>
    <row r="28" spans="6:29" x14ac:dyDescent="0.25">
      <c r="I28" s="3">
        <f t="shared" ref="I28:I41" si="10">FORECAST(H3,I$2:I$16,H$2:H$16)</f>
        <v>71.271811874501125</v>
      </c>
      <c r="J28" s="25">
        <v>71.271811874501125</v>
      </c>
    </row>
    <row r="29" spans="6:29" x14ac:dyDescent="0.25">
      <c r="I29" s="3">
        <f t="shared" si="10"/>
        <v>70.015411064038801</v>
      </c>
      <c r="J29" s="25">
        <v>70.015411064038801</v>
      </c>
    </row>
    <row r="30" spans="6:29" x14ac:dyDescent="0.25">
      <c r="I30" s="3">
        <f t="shared" si="10"/>
        <v>55.566801743721982</v>
      </c>
      <c r="J30" s="25">
        <v>55.566801743721982</v>
      </c>
    </row>
    <row r="31" spans="6:29" x14ac:dyDescent="0.25">
      <c r="I31" s="3">
        <f t="shared" si="10"/>
        <v>75.041014305888126</v>
      </c>
      <c r="J31" s="25">
        <v>75.041014305888126</v>
      </c>
    </row>
    <row r="32" spans="6:29" x14ac:dyDescent="0.25">
      <c r="I32" s="3">
        <f t="shared" si="10"/>
        <v>80.69481795296862</v>
      </c>
      <c r="J32" s="25">
        <v>80.69481795296862</v>
      </c>
    </row>
    <row r="33" spans="9:10" x14ac:dyDescent="0.25">
      <c r="I33" s="3">
        <f t="shared" si="10"/>
        <v>83.207619573893282</v>
      </c>
      <c r="J33" s="25">
        <v>83.207619573893282</v>
      </c>
    </row>
    <row r="34" spans="9:10" x14ac:dyDescent="0.25">
      <c r="I34" s="3">
        <f t="shared" si="10"/>
        <v>69.387210658807632</v>
      </c>
      <c r="J34" s="25">
        <v>69.387210658807632</v>
      </c>
    </row>
    <row r="35" spans="9:10" x14ac:dyDescent="0.25">
      <c r="I35" s="3">
        <f t="shared" si="10"/>
        <v>78.810216737275127</v>
      </c>
      <c r="J35" s="25">
        <v>78.810216737275113</v>
      </c>
    </row>
    <row r="36" spans="9:10" x14ac:dyDescent="0.25">
      <c r="I36" s="3">
        <f t="shared" si="10"/>
        <v>73.784613495425788</v>
      </c>
      <c r="J36" s="25">
        <v>73.784613495425788</v>
      </c>
    </row>
    <row r="37" spans="9:10" x14ac:dyDescent="0.25">
      <c r="I37" s="3">
        <f t="shared" si="10"/>
        <v>76.925615521581619</v>
      </c>
      <c r="J37" s="25">
        <v>76.925615521581619</v>
      </c>
    </row>
    <row r="38" spans="9:10" x14ac:dyDescent="0.25">
      <c r="I38" s="3">
        <f t="shared" si="10"/>
        <v>63.733407011727138</v>
      </c>
      <c r="J38" s="25">
        <v>63.733407011727138</v>
      </c>
    </row>
    <row r="39" spans="9:10" x14ac:dyDescent="0.25">
      <c r="I39" s="3">
        <f t="shared" si="10"/>
        <v>67.502609443114139</v>
      </c>
      <c r="J39" s="25">
        <v>67.502609443114125</v>
      </c>
    </row>
    <row r="40" spans="9:10" x14ac:dyDescent="0.25">
      <c r="I40" s="3">
        <f t="shared" si="10"/>
        <v>83.207619573893282</v>
      </c>
      <c r="J40" s="25">
        <v>83.207619573893282</v>
      </c>
    </row>
    <row r="41" spans="9:10" x14ac:dyDescent="0.25">
      <c r="I41" s="3">
        <f t="shared" si="10"/>
        <v>71.271811874501125</v>
      </c>
      <c r="J41" s="26">
        <v>71.271811874501125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J1" workbookViewId="0">
      <selection activeCell="V5" sqref="V5:V20"/>
    </sheetView>
  </sheetViews>
  <sheetFormatPr defaultRowHeight="15" x14ac:dyDescent="0.25"/>
  <cols>
    <col min="4" max="4" width="18.7109375" bestFit="1" customWidth="1"/>
  </cols>
  <sheetData>
    <row r="1" spans="1:30" x14ac:dyDescent="0.25">
      <c r="A1" s="1" t="s">
        <v>0</v>
      </c>
      <c r="B1" s="1" t="s">
        <v>1</v>
      </c>
    </row>
    <row r="2" spans="1:30" x14ac:dyDescent="0.25">
      <c r="A2">
        <v>5</v>
      </c>
      <c r="B2">
        <v>80</v>
      </c>
    </row>
    <row r="3" spans="1:30" x14ac:dyDescent="0.25">
      <c r="A3">
        <v>23</v>
      </c>
      <c r="B3">
        <v>78</v>
      </c>
      <c r="D3" t="s">
        <v>120</v>
      </c>
      <c r="M3" t="s">
        <v>143</v>
      </c>
      <c r="P3" t="s">
        <v>42</v>
      </c>
    </row>
    <row r="4" spans="1:30" ht="15.75" thickBot="1" x14ac:dyDescent="0.3">
      <c r="A4">
        <v>25</v>
      </c>
      <c r="B4">
        <v>60</v>
      </c>
      <c r="D4" s="1"/>
    </row>
    <row r="5" spans="1:30" ht="16.5" thickTop="1" thickBot="1" x14ac:dyDescent="0.3">
      <c r="A5">
        <v>48</v>
      </c>
      <c r="B5">
        <v>53</v>
      </c>
      <c r="D5" s="48" t="s">
        <v>121</v>
      </c>
      <c r="E5" s="48"/>
      <c r="G5" s="48"/>
      <c r="H5" s="48"/>
      <c r="M5" t="s">
        <v>130</v>
      </c>
      <c r="N5" s="51">
        <v>0.05</v>
      </c>
      <c r="P5" s="50" t="s">
        <v>35</v>
      </c>
      <c r="Q5" s="50" t="str">
        <f>A1</f>
        <v>Cigarros</v>
      </c>
      <c r="R5" s="50" t="str">
        <f>B1</f>
        <v>Exp Vida</v>
      </c>
      <c r="S5" s="50" t="s">
        <v>38</v>
      </c>
      <c r="T5" s="50" t="s">
        <v>136</v>
      </c>
      <c r="U5" s="50" t="s">
        <v>39</v>
      </c>
      <c r="V5" s="50" t="s">
        <v>86</v>
      </c>
      <c r="W5" s="50" t="s">
        <v>144</v>
      </c>
      <c r="X5" s="50" t="s">
        <v>145</v>
      </c>
      <c r="Y5" s="50" t="s">
        <v>146</v>
      </c>
      <c r="Z5" s="50" t="s">
        <v>42</v>
      </c>
      <c r="AA5" s="50" t="s">
        <v>43</v>
      </c>
    </row>
    <row r="6" spans="1:30" ht="15.75" thickTop="1" x14ac:dyDescent="0.25">
      <c r="A6">
        <v>17</v>
      </c>
      <c r="B6">
        <v>85</v>
      </c>
      <c r="D6" t="s">
        <v>122</v>
      </c>
      <c r="E6">
        <f>SQRT(E7)</f>
        <v>0.71343017438658085</v>
      </c>
      <c r="G6" t="s">
        <v>127</v>
      </c>
      <c r="H6">
        <f>E10*LN(F15/E10)+2*(E14+1)</f>
        <v>64.141643292205714</v>
      </c>
      <c r="P6">
        <v>1</v>
      </c>
      <c r="Q6">
        <f t="shared" ref="Q6:Q20" si="0">A2</f>
        <v>5</v>
      </c>
      <c r="R6">
        <f t="shared" ref="R6:R20" si="1">B2</f>
        <v>80</v>
      </c>
      <c r="S6">
        <f t="array" ref="S6:S20">TREND(B2:B16,A2:A16)</f>
        <v>82.579419168662113</v>
      </c>
      <c r="T6">
        <f>R6-S6</f>
        <v>-2.5794191686621133</v>
      </c>
      <c r="U6">
        <f t="array" ref="U6:U20">[1]!LEVERAGE(A2:A16)</f>
        <v>0.16215386504574203</v>
      </c>
      <c r="V6">
        <f>T6/SQRT($AD$8)</f>
        <v>-0.32345100811793692</v>
      </c>
      <c r="W6">
        <f>($AD$8-T6^2/((1-U6)*$AD$7))*$AD$7/($AD$7-1)</f>
        <v>68.233438370218366</v>
      </c>
      <c r="X6">
        <f>T6/SQRT(W6*(1-U6))</f>
        <v>-0.34114668806182435</v>
      </c>
      <c r="Y6">
        <f>TDIST(ABS(X6),$AD$7,2)</f>
        <v>0.73844391303179191</v>
      </c>
      <c r="Z6">
        <f>(T6^2/$AD$8)*(U6/(1-U6)^2)/($AD$9+1)</f>
        <v>1.2083306344603062E-2</v>
      </c>
      <c r="AA6">
        <f>X6*SQRT(U6/(1-U6))</f>
        <v>-0.15007995006224781</v>
      </c>
      <c r="AC6" t="s">
        <v>147</v>
      </c>
      <c r="AD6" s="52">
        <f>DEVSQ(T6:T20)</f>
        <v>826.74234051697647</v>
      </c>
    </row>
    <row r="7" spans="1:30" x14ac:dyDescent="0.25">
      <c r="A7">
        <v>8</v>
      </c>
      <c r="B7">
        <v>84</v>
      </c>
      <c r="D7" t="s">
        <v>123</v>
      </c>
      <c r="E7">
        <f>F14/F16</f>
        <v>0.50898261372526721</v>
      </c>
      <c r="G7" t="s">
        <v>128</v>
      </c>
      <c r="H7">
        <f>H6+2*(E14+2)*(E14+3)/(E10-E14-3)</f>
        <v>66.323461474023901</v>
      </c>
      <c r="M7" t="str">
        <f t="array" ref="M7:N10">[1]!DURBIN(A2:A16,B2:B16,TRUE,N5)</f>
        <v>D-stat</v>
      </c>
      <c r="N7" s="52">
        <v>3.061313928305549</v>
      </c>
      <c r="P7">
        <f>P6+1</f>
        <v>2</v>
      </c>
      <c r="Q7">
        <f t="shared" si="0"/>
        <v>23</v>
      </c>
      <c r="R7">
        <f t="shared" si="1"/>
        <v>78</v>
      </c>
      <c r="S7">
        <v>71.271811874501125</v>
      </c>
      <c r="T7">
        <f t="shared" ref="T7:T20" si="2">R7-S7</f>
        <v>6.7281881254988747</v>
      </c>
      <c r="U7">
        <v>7.2634616565358912E-2</v>
      </c>
      <c r="V7">
        <f t="shared" ref="V7:V20" si="3">T7/SQRT($AD$8)</f>
        <v>0.84369351768774736</v>
      </c>
      <c r="W7">
        <f t="shared" ref="W7:W20" si="4">($AD$8-T7^2/((1-U7)*$AD$7))*$AD$7/($AD$7-1)</f>
        <v>64.827352577683584</v>
      </c>
      <c r="X7">
        <f t="shared" ref="X7:X20" si="5">T7/SQRT(W7*(1-U7))</f>
        <v>0.86774784295350382</v>
      </c>
      <c r="Y7">
        <f t="shared" ref="Y7:Y20" si="6">TDIST(ABS(X7),$AD$7,2)</f>
        <v>0.40126717937513812</v>
      </c>
      <c r="Z7">
        <f t="shared" ref="Z7:Z20" si="7">(T7^2/$AD$8)*(U7/(1-U7)^2)/($AD$9+1)</f>
        <v>3.0059469800597548E-2</v>
      </c>
      <c r="AA7">
        <f t="shared" ref="AA7:AA20" si="8">X7*SQRT(U7/(1-U7))</f>
        <v>0.24285101704604029</v>
      </c>
      <c r="AC7" t="s">
        <v>148</v>
      </c>
      <c r="AD7" s="53">
        <f>COUNT(B2:B16)-AD9-1</f>
        <v>13</v>
      </c>
    </row>
    <row r="8" spans="1:30" x14ac:dyDescent="0.25">
      <c r="A8">
        <v>4</v>
      </c>
      <c r="B8">
        <v>73</v>
      </c>
      <c r="D8" t="s">
        <v>124</v>
      </c>
      <c r="E8">
        <f>1-(1-E7)*(E10-1)/(E10-E14-1)</f>
        <v>0.47121204555028773</v>
      </c>
      <c r="G8" s="14" t="s">
        <v>129</v>
      </c>
      <c r="H8" s="14">
        <f>E10*LN(F15/E10)+(E14+1)*LN(E10)</f>
        <v>65.557743694410121</v>
      </c>
      <c r="M8" t="str">
        <v>D-lower</v>
      </c>
      <c r="N8" s="53">
        <v>1.07697</v>
      </c>
      <c r="P8">
        <f t="shared" ref="P8:P20" si="9">P7+1</f>
        <v>3</v>
      </c>
      <c r="Q8">
        <f t="shared" si="0"/>
        <v>25</v>
      </c>
      <c r="R8">
        <f t="shared" si="1"/>
        <v>60</v>
      </c>
      <c r="S8">
        <v>70.015411064038801</v>
      </c>
      <c r="T8">
        <f t="shared" si="2"/>
        <v>-10.015411064038801</v>
      </c>
      <c r="U8">
        <v>8.1107631853625572E-2</v>
      </c>
      <c r="V8">
        <f t="shared" si="3"/>
        <v>-1.2559008806076071</v>
      </c>
      <c r="W8">
        <f t="shared" si="4"/>
        <v>59.798331774243827</v>
      </c>
      <c r="X8">
        <f t="shared" si="5"/>
        <v>-1.351113776814177</v>
      </c>
      <c r="Y8">
        <f t="shared" si="6"/>
        <v>0.19970578171404119</v>
      </c>
      <c r="Z8">
        <f t="shared" si="7"/>
        <v>7.5755325130713536E-2</v>
      </c>
      <c r="AA8">
        <f t="shared" si="8"/>
        <v>-0.40141210108054132</v>
      </c>
      <c r="AC8" t="s">
        <v>51</v>
      </c>
      <c r="AD8" s="53">
        <f>AD6/AD7</f>
        <v>63.595564655152039</v>
      </c>
    </row>
    <row r="9" spans="1:30" x14ac:dyDescent="0.25">
      <c r="A9">
        <v>26</v>
      </c>
      <c r="B9">
        <v>79</v>
      </c>
      <c r="D9" t="s">
        <v>125</v>
      </c>
      <c r="E9">
        <f>SQRT(G15)</f>
        <v>7.9746827306891683</v>
      </c>
      <c r="M9" t="str">
        <v>D-upper</v>
      </c>
      <c r="N9" s="53">
        <v>1.3605400000000001</v>
      </c>
      <c r="P9">
        <f t="shared" si="9"/>
        <v>4</v>
      </c>
      <c r="Q9">
        <f t="shared" si="0"/>
        <v>48</v>
      </c>
      <c r="R9">
        <f t="shared" si="1"/>
        <v>53</v>
      </c>
      <c r="S9">
        <v>55.566801743721982</v>
      </c>
      <c r="T9">
        <f t="shared" si="2"/>
        <v>-2.5668017437219817</v>
      </c>
      <c r="U9">
        <v>0.44332903542702784</v>
      </c>
      <c r="V9">
        <f t="shared" si="3"/>
        <v>-0.32186882292433971</v>
      </c>
      <c r="W9">
        <f t="shared" si="4"/>
        <v>67.908904575451743</v>
      </c>
      <c r="X9">
        <f t="shared" si="5"/>
        <v>-0.41747423579741894</v>
      </c>
      <c r="Y9">
        <f t="shared" si="6"/>
        <v>0.68314401724421692</v>
      </c>
      <c r="Z9">
        <f t="shared" si="7"/>
        <v>7.4106595989850282E-2</v>
      </c>
      <c r="AA9">
        <f t="shared" si="8"/>
        <v>-0.37255764665172431</v>
      </c>
      <c r="AC9" t="s">
        <v>21</v>
      </c>
      <c r="AD9" s="55">
        <f>COUNT(A2)</f>
        <v>1</v>
      </c>
    </row>
    <row r="10" spans="1:30" x14ac:dyDescent="0.25">
      <c r="A10">
        <v>11</v>
      </c>
      <c r="B10">
        <v>81</v>
      </c>
      <c r="D10" s="14" t="s">
        <v>126</v>
      </c>
      <c r="E10" s="14">
        <f>COUNT(B2:B16)</f>
        <v>15</v>
      </c>
      <c r="M10" t="str">
        <v>sig</v>
      </c>
      <c r="N10" s="54" t="str">
        <v>yes</v>
      </c>
      <c r="P10">
        <f t="shared" si="9"/>
        <v>5</v>
      </c>
      <c r="Q10">
        <f t="shared" si="0"/>
        <v>17</v>
      </c>
      <c r="R10">
        <f t="shared" si="1"/>
        <v>85</v>
      </c>
      <c r="S10">
        <v>75.041014305888126</v>
      </c>
      <c r="T10">
        <f t="shared" si="2"/>
        <v>9.958985694111874</v>
      </c>
      <c r="U10">
        <v>6.931908884386323E-2</v>
      </c>
      <c r="V10">
        <f t="shared" si="3"/>
        <v>1.2488253176250466</v>
      </c>
      <c r="W10">
        <f t="shared" si="4"/>
        <v>60.014475304569622</v>
      </c>
      <c r="X10">
        <f t="shared" si="5"/>
        <v>1.3325597725103164</v>
      </c>
      <c r="Y10">
        <f t="shared" si="6"/>
        <v>0.20556315743369466</v>
      </c>
      <c r="Z10">
        <f t="shared" si="7"/>
        <v>6.2405752807508368E-2</v>
      </c>
      <c r="AA10">
        <f t="shared" si="8"/>
        <v>0.3636743892744948</v>
      </c>
    </row>
    <row r="11" spans="1:30" x14ac:dyDescent="0.25">
      <c r="A11">
        <v>19</v>
      </c>
      <c r="B11">
        <v>75</v>
      </c>
      <c r="P11">
        <f t="shared" si="9"/>
        <v>6</v>
      </c>
      <c r="Q11">
        <f t="shared" si="0"/>
        <v>8</v>
      </c>
      <c r="R11">
        <f t="shared" si="1"/>
        <v>84</v>
      </c>
      <c r="S11">
        <v>80.69481795296862</v>
      </c>
      <c r="T11">
        <f t="shared" si="2"/>
        <v>3.30518204703138</v>
      </c>
      <c r="U11">
        <v>0.12651194203966357</v>
      </c>
      <c r="V11">
        <f t="shared" si="3"/>
        <v>0.41445937834140623</v>
      </c>
      <c r="W11">
        <f t="shared" si="4"/>
        <v>67.852991483030465</v>
      </c>
      <c r="X11">
        <f t="shared" si="5"/>
        <v>0.42932126412379112</v>
      </c>
      <c r="Y11">
        <f t="shared" si="6"/>
        <v>0.67471904030617647</v>
      </c>
      <c r="Z11">
        <f t="shared" si="7"/>
        <v>1.4241361993178931E-2</v>
      </c>
      <c r="AA11">
        <f t="shared" si="8"/>
        <v>0.1633878186992217</v>
      </c>
    </row>
    <row r="12" spans="1:30" ht="15.75" thickBot="1" x14ac:dyDescent="0.3">
      <c r="A12">
        <v>14</v>
      </c>
      <c r="B12">
        <v>68</v>
      </c>
      <c r="D12" t="s">
        <v>30</v>
      </c>
      <c r="H12" s="49" t="s">
        <v>130</v>
      </c>
      <c r="I12" s="49">
        <v>0.05</v>
      </c>
      <c r="P12">
        <f t="shared" si="9"/>
        <v>7</v>
      </c>
      <c r="Q12">
        <f t="shared" si="0"/>
        <v>4</v>
      </c>
      <c r="R12">
        <f t="shared" si="1"/>
        <v>73</v>
      </c>
      <c r="S12">
        <v>83.207619573893282</v>
      </c>
      <c r="T12">
        <f t="shared" si="2"/>
        <v>-10.207619573893282</v>
      </c>
      <c r="U12">
        <v>0.17587646589304357</v>
      </c>
      <c r="V12">
        <f t="shared" si="3"/>
        <v>-1.2800032200166471</v>
      </c>
      <c r="W12">
        <f t="shared" si="4"/>
        <v>58.35920407276339</v>
      </c>
      <c r="X12">
        <f t="shared" si="5"/>
        <v>-1.4718841811600345</v>
      </c>
      <c r="Y12">
        <f t="shared" si="6"/>
        <v>0.16484365667877993</v>
      </c>
      <c r="Z12">
        <f t="shared" si="7"/>
        <v>0.21213641556569093</v>
      </c>
      <c r="AA12">
        <f t="shared" si="8"/>
        <v>-0.67995683668488205</v>
      </c>
    </row>
    <row r="13" spans="1:30" ht="15.75" thickTop="1" x14ac:dyDescent="0.25">
      <c r="A13">
        <v>35</v>
      </c>
      <c r="B13">
        <v>72</v>
      </c>
      <c r="D13" s="50"/>
      <c r="E13" s="50" t="s">
        <v>131</v>
      </c>
      <c r="F13" s="50" t="s">
        <v>132</v>
      </c>
      <c r="G13" s="50" t="s">
        <v>133</v>
      </c>
      <c r="H13" s="50" t="s">
        <v>22</v>
      </c>
      <c r="I13" s="50" t="s">
        <v>134</v>
      </c>
      <c r="J13" s="50" t="s">
        <v>25</v>
      </c>
      <c r="P13">
        <f t="shared" si="9"/>
        <v>8</v>
      </c>
      <c r="Q13">
        <f t="shared" si="0"/>
        <v>26</v>
      </c>
      <c r="R13">
        <f t="shared" si="1"/>
        <v>79</v>
      </c>
      <c r="S13">
        <v>69.387210658807632</v>
      </c>
      <c r="T13">
        <f t="shared" si="2"/>
        <v>9.6127893411923679</v>
      </c>
      <c r="U13">
        <v>8.6725609381715474E-2</v>
      </c>
      <c r="V13">
        <f t="shared" si="3"/>
        <v>1.2054133895758929</v>
      </c>
      <c r="W13">
        <f t="shared" si="4"/>
        <v>60.463472161529211</v>
      </c>
      <c r="X13">
        <f t="shared" si="5"/>
        <v>1.2936066624599456</v>
      </c>
      <c r="Y13">
        <f t="shared" si="6"/>
        <v>0.21831419276799974</v>
      </c>
      <c r="Z13">
        <f t="shared" si="7"/>
        <v>7.5541712807570827E-2</v>
      </c>
      <c r="AA13">
        <f t="shared" si="8"/>
        <v>0.39863486870293313</v>
      </c>
    </row>
    <row r="14" spans="1:30" x14ac:dyDescent="0.25">
      <c r="A14">
        <v>29</v>
      </c>
      <c r="B14">
        <v>58</v>
      </c>
      <c r="D14" t="s">
        <v>135</v>
      </c>
      <c r="E14">
        <f>COUNT(A2)</f>
        <v>1</v>
      </c>
      <c r="F14">
        <f>DEVSQ(MMULT([1]!DESIGN(A2:A16),E19:E20))</f>
        <v>856.99099281635665</v>
      </c>
      <c r="G14">
        <f>F14/E14</f>
        <v>856.99099281635665</v>
      </c>
      <c r="H14">
        <f>G14/G15</f>
        <v>13.475640910862317</v>
      </c>
      <c r="I14">
        <f>FDIST(H14,E14,E15)</f>
        <v>2.822342990071234E-3</v>
      </c>
      <c r="J14" s="49" t="str">
        <f>IF(I14&lt;I12,"yes","no")</f>
        <v>yes</v>
      </c>
      <c r="P14">
        <f t="shared" si="9"/>
        <v>9</v>
      </c>
      <c r="Q14">
        <f t="shared" si="0"/>
        <v>11</v>
      </c>
      <c r="R14">
        <f t="shared" si="1"/>
        <v>81</v>
      </c>
      <c r="S14">
        <v>78.810216737275113</v>
      </c>
      <c r="T14">
        <f t="shared" si="2"/>
        <v>2.1897832627248874</v>
      </c>
      <c r="U14">
        <v>9.9158838337324265E-2</v>
      </c>
      <c r="V14">
        <f t="shared" si="3"/>
        <v>0.27459189746795704</v>
      </c>
      <c r="W14">
        <f t="shared" si="4"/>
        <v>68.451614185750614</v>
      </c>
      <c r="X14">
        <f t="shared" si="5"/>
        <v>0.27885932646467837</v>
      </c>
      <c r="Y14">
        <f t="shared" si="6"/>
        <v>0.78473946633758407</v>
      </c>
      <c r="Z14">
        <f t="shared" si="7"/>
        <v>4.6065991909097388E-3</v>
      </c>
      <c r="AA14">
        <f t="shared" si="8"/>
        <v>9.2518115540735066E-2</v>
      </c>
    </row>
    <row r="15" spans="1:30" x14ac:dyDescent="0.25">
      <c r="A15">
        <v>4</v>
      </c>
      <c r="B15">
        <v>92</v>
      </c>
      <c r="D15" t="s">
        <v>136</v>
      </c>
      <c r="E15">
        <f>E16-E14</f>
        <v>13</v>
      </c>
      <c r="F15">
        <f>F16-F14</f>
        <v>826.7423405169767</v>
      </c>
      <c r="G15">
        <f>F15/E15</f>
        <v>63.595564655152053</v>
      </c>
      <c r="P15">
        <f t="shared" si="9"/>
        <v>10</v>
      </c>
      <c r="Q15">
        <f t="shared" si="0"/>
        <v>19</v>
      </c>
      <c r="R15">
        <f t="shared" si="1"/>
        <v>75</v>
      </c>
      <c r="S15">
        <v>73.784613495425788</v>
      </c>
      <c r="T15">
        <f t="shared" si="2"/>
        <v>1.2153865045742123</v>
      </c>
      <c r="U15">
        <v>6.6740345060477657E-2</v>
      </c>
      <c r="V15">
        <f t="shared" si="3"/>
        <v>0.15240562485288731</v>
      </c>
      <c r="W15">
        <f t="shared" si="4"/>
        <v>68.763294956140328</v>
      </c>
      <c r="X15">
        <f t="shared" si="5"/>
        <v>0.1517172019269904</v>
      </c>
      <c r="Y15">
        <f t="shared" si="6"/>
        <v>0.88173917879630681</v>
      </c>
      <c r="Z15">
        <f t="shared" si="7"/>
        <v>8.8992920763197013E-4</v>
      </c>
      <c r="AA15">
        <f t="shared" si="8"/>
        <v>4.0572129462719875E-2</v>
      </c>
    </row>
    <row r="16" spans="1:30" x14ac:dyDescent="0.25">
      <c r="A16">
        <v>23</v>
      </c>
      <c r="B16">
        <v>65</v>
      </c>
      <c r="D16" s="14" t="s">
        <v>15</v>
      </c>
      <c r="E16" s="14">
        <f>E10-1</f>
        <v>14</v>
      </c>
      <c r="F16" s="14">
        <f>DEVSQ(B2:B16)</f>
        <v>1683.7333333333333</v>
      </c>
      <c r="G16" s="14"/>
      <c r="H16" s="14"/>
      <c r="I16" s="14"/>
      <c r="J16" s="14"/>
      <c r="P16">
        <f t="shared" si="9"/>
        <v>11</v>
      </c>
      <c r="Q16">
        <f t="shared" si="0"/>
        <v>14</v>
      </c>
      <c r="R16">
        <f t="shared" si="1"/>
        <v>68</v>
      </c>
      <c r="S16">
        <v>76.925615521581619</v>
      </c>
      <c r="T16">
        <f t="shared" si="2"/>
        <v>-8.9256155215816193</v>
      </c>
      <c r="U16">
        <v>8.0094553938724139E-2</v>
      </c>
      <c r="V16">
        <f t="shared" si="3"/>
        <v>-1.1192439653094854</v>
      </c>
      <c r="W16">
        <f t="shared" si="4"/>
        <v>61.67827465376272</v>
      </c>
      <c r="X16">
        <f t="shared" si="5"/>
        <v>-1.1849512188942051</v>
      </c>
      <c r="Y16">
        <f t="shared" si="6"/>
        <v>0.25724721767103403</v>
      </c>
      <c r="Z16">
        <f t="shared" si="7"/>
        <v>5.9283813766001281E-2</v>
      </c>
      <c r="AA16">
        <f t="shared" si="8"/>
        <v>-0.34964745427899246</v>
      </c>
    </row>
    <row r="17" spans="4:27" ht="15.75" thickBot="1" x14ac:dyDescent="0.3">
      <c r="P17">
        <f t="shared" si="9"/>
        <v>12</v>
      </c>
      <c r="Q17">
        <f t="shared" si="0"/>
        <v>35</v>
      </c>
      <c r="R17">
        <f t="shared" si="1"/>
        <v>72</v>
      </c>
      <c r="S17">
        <v>63.733407011727138</v>
      </c>
      <c r="T17">
        <f t="shared" si="2"/>
        <v>8.2665929882728619</v>
      </c>
      <c r="U17">
        <v>0.17873150365322035</v>
      </c>
      <c r="V17">
        <f t="shared" si="3"/>
        <v>1.0366046233363402</v>
      </c>
      <c r="W17">
        <f t="shared" si="4"/>
        <v>61.961149322169035</v>
      </c>
      <c r="X17">
        <f t="shared" si="5"/>
        <v>1.1588420374683235</v>
      </c>
      <c r="Y17">
        <f t="shared" si="6"/>
        <v>0.26736523095199272</v>
      </c>
      <c r="Z17">
        <f t="shared" si="7"/>
        <v>0.14237281399753909</v>
      </c>
      <c r="AA17">
        <f t="shared" si="8"/>
        <v>0.54060768324014774</v>
      </c>
    </row>
    <row r="18" spans="4:27" ht="15.75" thickTop="1" x14ac:dyDescent="0.25">
      <c r="D18" s="50"/>
      <c r="E18" s="50" t="s">
        <v>137</v>
      </c>
      <c r="F18" s="50" t="s">
        <v>138</v>
      </c>
      <c r="G18" s="50" t="s">
        <v>139</v>
      </c>
      <c r="H18" s="50" t="s">
        <v>134</v>
      </c>
      <c r="I18" s="50" t="s">
        <v>140</v>
      </c>
      <c r="J18" s="50" t="s">
        <v>141</v>
      </c>
      <c r="P18">
        <f t="shared" si="9"/>
        <v>13</v>
      </c>
      <c r="Q18">
        <f t="shared" si="0"/>
        <v>29</v>
      </c>
      <c r="R18">
        <f t="shared" si="1"/>
        <v>58</v>
      </c>
      <c r="S18">
        <v>67.502609443114125</v>
      </c>
      <c r="T18">
        <f t="shared" si="2"/>
        <v>-9.5026094431141246</v>
      </c>
      <c r="U18">
        <v>0.10910542150181129</v>
      </c>
      <c r="V18">
        <f t="shared" si="3"/>
        <v>-1.1915971787247408</v>
      </c>
      <c r="W18">
        <f t="shared" si="4"/>
        <v>60.448667585573183</v>
      </c>
      <c r="X18">
        <f t="shared" si="5"/>
        <v>-1.2949003726146744</v>
      </c>
      <c r="Y18">
        <f t="shared" si="6"/>
        <v>0.21788071079848823</v>
      </c>
      <c r="Z18">
        <f t="shared" si="7"/>
        <v>9.7593891642462127E-2</v>
      </c>
      <c r="AA18">
        <f t="shared" si="8"/>
        <v>-0.45315456934643977</v>
      </c>
    </row>
    <row r="19" spans="4:27" x14ac:dyDescent="0.25">
      <c r="D19" t="s">
        <v>142</v>
      </c>
      <c r="E19">
        <f t="array" ref="E19:F20">[1]!RegCoeff(A2:A16,B2:B16)</f>
        <v>85.720421194817945</v>
      </c>
      <c r="F19">
        <v>3.9065908075799731</v>
      </c>
      <c r="G19">
        <f>E19/F19</f>
        <v>21.942513413100315</v>
      </c>
      <c r="H19">
        <f>TDIST(ABS(G19),$E$15,2)</f>
        <v>1.1757939257001413E-11</v>
      </c>
      <c r="I19">
        <f>E19-TINV(I$12,$E$15)*F19</f>
        <v>77.280744860496497</v>
      </c>
      <c r="J19">
        <f>E19+TINV(I$12,$E$15)*F19</f>
        <v>94.160097529139392</v>
      </c>
      <c r="P19">
        <f t="shared" si="9"/>
        <v>14</v>
      </c>
      <c r="Q19">
        <f t="shared" si="0"/>
        <v>4</v>
      </c>
      <c r="R19">
        <f t="shared" si="1"/>
        <v>92</v>
      </c>
      <c r="S19">
        <v>83.207619573893282</v>
      </c>
      <c r="T19">
        <f t="shared" si="2"/>
        <v>8.7923804261067176</v>
      </c>
      <c r="U19">
        <v>0.17587646589304357</v>
      </c>
      <c r="V19">
        <f t="shared" si="3"/>
        <v>1.1025367056009368</v>
      </c>
      <c r="W19">
        <f t="shared" si="4"/>
        <v>61.07820823244549</v>
      </c>
      <c r="X19">
        <f t="shared" si="5"/>
        <v>1.2392735154674508</v>
      </c>
      <c r="Y19">
        <f t="shared" si="6"/>
        <v>0.23715188528573186</v>
      </c>
      <c r="Z19">
        <f t="shared" si="7"/>
        <v>0.15739075395985566</v>
      </c>
      <c r="AA19">
        <f t="shared" si="8"/>
        <v>0.57249918855740556</v>
      </c>
    </row>
    <row r="20" spans="4:27" x14ac:dyDescent="0.25">
      <c r="D20" s="14" t="str">
        <f t="array" ref="D20">TRANSPOSE(A1)</f>
        <v>Cigarros</v>
      </c>
      <c r="E20" s="14">
        <v>-0.62820040523116594</v>
      </c>
      <c r="F20" s="14">
        <v>0.17112895461639729</v>
      </c>
      <c r="G20" s="14">
        <f>E20/F20</f>
        <v>-3.6709182653475567</v>
      </c>
      <c r="H20" s="14">
        <f>TDIST(ABS(G20),$E$15,2)</f>
        <v>2.822342990071231E-3</v>
      </c>
      <c r="I20" s="14">
        <f>E20-TINV(I$12,$E$15)*F20</f>
        <v>-0.99790203499767438</v>
      </c>
      <c r="J20" s="14">
        <f>E20+TINV(I$12,$E$15)*F20</f>
        <v>-0.25849877546465749</v>
      </c>
      <c r="P20" s="14">
        <f t="shared" si="9"/>
        <v>15</v>
      </c>
      <c r="Q20" s="14">
        <f t="shared" si="0"/>
        <v>23</v>
      </c>
      <c r="R20" s="14">
        <f t="shared" si="1"/>
        <v>65</v>
      </c>
      <c r="S20" s="14">
        <v>71.271811874501125</v>
      </c>
      <c r="T20" s="14">
        <f t="shared" si="2"/>
        <v>-6.2718118745011253</v>
      </c>
      <c r="U20" s="14">
        <v>7.2634616565358912E-2</v>
      </c>
      <c r="V20" s="14">
        <f t="shared" si="3"/>
        <v>-0.7864653787874416</v>
      </c>
      <c r="W20" s="14">
        <f t="shared" si="4"/>
        <v>65.360483977754228</v>
      </c>
      <c r="X20" s="14">
        <f t="shared" si="5"/>
        <v>-0.8055823697244372</v>
      </c>
      <c r="Y20" s="14">
        <f t="shared" si="6"/>
        <v>0.43497186113925157</v>
      </c>
      <c r="Z20" s="14">
        <f t="shared" si="7"/>
        <v>2.6119875935669754E-2</v>
      </c>
      <c r="AA20" s="14">
        <f t="shared" si="8"/>
        <v>-0.22545316521451905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U21" sqref="U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>
        <v>5</v>
      </c>
      <c r="B2">
        <v>80</v>
      </c>
      <c r="D2" t="s">
        <v>149</v>
      </c>
      <c r="G2" t="s">
        <v>155</v>
      </c>
    </row>
    <row r="3" spans="1:10" x14ac:dyDescent="0.25">
      <c r="A3">
        <v>23</v>
      </c>
      <c r="B3">
        <v>78</v>
      </c>
    </row>
    <row r="4" spans="1:10" x14ac:dyDescent="0.25">
      <c r="A4">
        <v>25</v>
      </c>
      <c r="B4">
        <v>60</v>
      </c>
      <c r="D4" s="56"/>
      <c r="E4" s="56" t="str">
        <f>B1</f>
        <v>Exp Vida</v>
      </c>
      <c r="G4" t="s">
        <v>156</v>
      </c>
      <c r="H4">
        <f>COUNT(B2:B16)</f>
        <v>15</v>
      </c>
      <c r="I4">
        <f>2*H4</f>
        <v>30</v>
      </c>
    </row>
    <row r="5" spans="1:10" x14ac:dyDescent="0.25">
      <c r="A5">
        <v>48</v>
      </c>
      <c r="B5">
        <v>53</v>
      </c>
      <c r="D5" t="s">
        <v>150</v>
      </c>
      <c r="E5">
        <f>[1]!SHAPIRO(B2:B16)</f>
        <v>0.97225373231875356</v>
      </c>
      <c r="G5" t="s">
        <v>157</v>
      </c>
      <c r="H5">
        <f>AVERAGE(B2:B16)</f>
        <v>73.533333333333331</v>
      </c>
    </row>
    <row r="6" spans="1:10" x14ac:dyDescent="0.25">
      <c r="A6">
        <v>17</v>
      </c>
      <c r="B6">
        <v>85</v>
      </c>
      <c r="D6" t="s">
        <v>134</v>
      </c>
      <c r="E6">
        <f>[1]!SWTEST(B2:B16)</f>
        <v>0.88991536890951672</v>
      </c>
      <c r="G6" t="s">
        <v>158</v>
      </c>
      <c r="H6">
        <f>STDEV(B2:B16)</f>
        <v>10.966616007988378</v>
      </c>
    </row>
    <row r="7" spans="1:10" x14ac:dyDescent="0.25">
      <c r="A7">
        <v>8</v>
      </c>
      <c r="B7">
        <v>84</v>
      </c>
      <c r="D7" t="s">
        <v>151</v>
      </c>
      <c r="E7">
        <v>0.05</v>
      </c>
    </row>
    <row r="8" spans="1:10" x14ac:dyDescent="0.25">
      <c r="A8">
        <v>4</v>
      </c>
      <c r="B8">
        <v>73</v>
      </c>
      <c r="D8" s="14" t="s">
        <v>152</v>
      </c>
      <c r="E8" s="57" t="str">
        <f>IF(E6&lt;E7,"no","yes")</f>
        <v>yes</v>
      </c>
      <c r="G8" t="s">
        <v>159</v>
      </c>
      <c r="H8" t="s">
        <v>160</v>
      </c>
      <c r="I8" t="s">
        <v>161</v>
      </c>
      <c r="J8" t="s">
        <v>162</v>
      </c>
    </row>
    <row r="9" spans="1:10" x14ac:dyDescent="0.25">
      <c r="A9">
        <v>26</v>
      </c>
      <c r="B9">
        <v>79</v>
      </c>
      <c r="G9">
        <v>1</v>
      </c>
      <c r="H9">
        <f t="array" ref="H9:H23">[1]!QSORT(B2:B16)</f>
        <v>53</v>
      </c>
      <c r="I9">
        <f>NORMSINV(G9/I$4)</f>
        <v>-1.8339146358159142</v>
      </c>
      <c r="J9">
        <f>STANDARDIZE(H9,H$5,H$6)</f>
        <v>-1.8723490745345965</v>
      </c>
    </row>
    <row r="10" spans="1:10" x14ac:dyDescent="0.25">
      <c r="A10">
        <v>11</v>
      </c>
      <c r="B10">
        <v>81</v>
      </c>
      <c r="D10" t="s">
        <v>153</v>
      </c>
      <c r="G10">
        <f>G9+2</f>
        <v>3</v>
      </c>
      <c r="H10">
        <v>58</v>
      </c>
      <c r="I10">
        <f t="shared" ref="I10:I23" si="0">NORMSINV(G10/I$4)</f>
        <v>-1.2815515655446006</v>
      </c>
      <c r="J10">
        <f t="shared" ref="J10:J23" si="1">STANDARDIZE(H10,H$5,H$6)</f>
        <v>-1.4164199167745486</v>
      </c>
    </row>
    <row r="11" spans="1:10" x14ac:dyDescent="0.25">
      <c r="A11">
        <v>19</v>
      </c>
      <c r="B11">
        <v>75</v>
      </c>
      <c r="G11">
        <f t="shared" ref="G11:G23" si="2">G10+2</f>
        <v>5</v>
      </c>
      <c r="H11">
        <v>60</v>
      </c>
      <c r="I11">
        <f t="shared" si="0"/>
        <v>-0.96742156610170071</v>
      </c>
      <c r="J11">
        <f t="shared" si="1"/>
        <v>-1.2340482536705295</v>
      </c>
    </row>
    <row r="12" spans="1:10" x14ac:dyDescent="0.25">
      <c r="A12">
        <v>14</v>
      </c>
      <c r="B12">
        <v>68</v>
      </c>
      <c r="D12" s="58" t="s">
        <v>154</v>
      </c>
      <c r="E12" s="58">
        <f>[1]!DAGOSTINO(B2:B16)</f>
        <v>0.60448543328134496</v>
      </c>
      <c r="G12">
        <f t="shared" si="2"/>
        <v>7</v>
      </c>
      <c r="H12">
        <v>65</v>
      </c>
      <c r="I12">
        <f t="shared" si="0"/>
        <v>-0.72791329088164469</v>
      </c>
      <c r="J12">
        <f t="shared" si="1"/>
        <v>-0.77811909591048156</v>
      </c>
    </row>
    <row r="13" spans="1:10" x14ac:dyDescent="0.25">
      <c r="A13">
        <v>35</v>
      </c>
      <c r="B13">
        <v>72</v>
      </c>
      <c r="D13" t="s">
        <v>134</v>
      </c>
      <c r="E13">
        <f>[1]!DPTEST(B2:B16)</f>
        <v>0.73915863701404705</v>
      </c>
      <c r="G13">
        <f t="shared" si="2"/>
        <v>9</v>
      </c>
      <c r="H13">
        <v>68</v>
      </c>
      <c r="I13">
        <f t="shared" si="0"/>
        <v>-0.52440051270804089</v>
      </c>
      <c r="J13">
        <f t="shared" si="1"/>
        <v>-0.50456160125445282</v>
      </c>
    </row>
    <row r="14" spans="1:10" x14ac:dyDescent="0.25">
      <c r="A14">
        <v>29</v>
      </c>
      <c r="B14">
        <v>58</v>
      </c>
      <c r="D14" t="s">
        <v>151</v>
      </c>
      <c r="E14">
        <v>0.05</v>
      </c>
      <c r="G14">
        <f t="shared" si="2"/>
        <v>11</v>
      </c>
      <c r="H14">
        <v>72</v>
      </c>
      <c r="I14">
        <f t="shared" si="0"/>
        <v>-0.34069482708779553</v>
      </c>
      <c r="J14">
        <f t="shared" si="1"/>
        <v>-0.13981827504641453</v>
      </c>
    </row>
    <row r="15" spans="1:10" x14ac:dyDescent="0.25">
      <c r="A15">
        <v>4</v>
      </c>
      <c r="B15">
        <v>92</v>
      </c>
      <c r="D15" s="14" t="s">
        <v>152</v>
      </c>
      <c r="E15" s="57" t="str">
        <f>IF(E13&lt;E14,"no","yes")</f>
        <v>yes</v>
      </c>
      <c r="G15">
        <f t="shared" si="2"/>
        <v>13</v>
      </c>
      <c r="H15">
        <v>73</v>
      </c>
      <c r="I15">
        <f t="shared" si="0"/>
        <v>-0.16789400478810546</v>
      </c>
      <c r="J15">
        <f t="shared" si="1"/>
        <v>-4.8632443494404938E-2</v>
      </c>
    </row>
    <row r="16" spans="1:10" x14ac:dyDescent="0.25">
      <c r="A16">
        <v>23</v>
      </c>
      <c r="B16">
        <v>65</v>
      </c>
      <c r="G16">
        <f t="shared" si="2"/>
        <v>15</v>
      </c>
      <c r="H16">
        <v>75</v>
      </c>
      <c r="I16">
        <f t="shared" si="0"/>
        <v>0</v>
      </c>
      <c r="J16">
        <f t="shared" si="1"/>
        <v>0.13373921960961421</v>
      </c>
    </row>
    <row r="17" spans="7:10" x14ac:dyDescent="0.25">
      <c r="G17">
        <f t="shared" si="2"/>
        <v>17</v>
      </c>
      <c r="H17">
        <v>78</v>
      </c>
      <c r="I17">
        <f t="shared" si="0"/>
        <v>0.16789400478810546</v>
      </c>
      <c r="J17">
        <f t="shared" si="1"/>
        <v>0.40729671426564296</v>
      </c>
    </row>
    <row r="18" spans="7:10" x14ac:dyDescent="0.25">
      <c r="G18">
        <f t="shared" si="2"/>
        <v>19</v>
      </c>
      <c r="H18">
        <v>79</v>
      </c>
      <c r="I18">
        <f t="shared" si="0"/>
        <v>0.34069482708779542</v>
      </c>
      <c r="J18">
        <f t="shared" si="1"/>
        <v>0.49848254581765256</v>
      </c>
    </row>
    <row r="19" spans="7:10" x14ac:dyDescent="0.25">
      <c r="G19">
        <f t="shared" si="2"/>
        <v>21</v>
      </c>
      <c r="H19">
        <v>80</v>
      </c>
      <c r="I19">
        <f t="shared" si="0"/>
        <v>0.52440051270804078</v>
      </c>
      <c r="J19">
        <f t="shared" si="1"/>
        <v>0.58966837736966216</v>
      </c>
    </row>
    <row r="20" spans="7:10" x14ac:dyDescent="0.25">
      <c r="G20">
        <f t="shared" si="2"/>
        <v>23</v>
      </c>
      <c r="H20">
        <v>81</v>
      </c>
      <c r="I20">
        <f t="shared" si="0"/>
        <v>0.72791329088164458</v>
      </c>
      <c r="J20">
        <f t="shared" si="1"/>
        <v>0.6808542089216717</v>
      </c>
    </row>
    <row r="21" spans="7:10" x14ac:dyDescent="0.25">
      <c r="G21">
        <f t="shared" si="2"/>
        <v>25</v>
      </c>
      <c r="H21">
        <v>84</v>
      </c>
      <c r="I21">
        <f t="shared" si="0"/>
        <v>0.96742156610170071</v>
      </c>
      <c r="J21">
        <f t="shared" si="1"/>
        <v>0.95441170357770044</v>
      </c>
    </row>
    <row r="22" spans="7:10" x14ac:dyDescent="0.25">
      <c r="G22">
        <f t="shared" si="2"/>
        <v>27</v>
      </c>
      <c r="H22">
        <v>85</v>
      </c>
      <c r="I22">
        <f t="shared" si="0"/>
        <v>1.2815515655446006</v>
      </c>
      <c r="J22">
        <f t="shared" si="1"/>
        <v>1.04559753512971</v>
      </c>
    </row>
    <row r="23" spans="7:10" x14ac:dyDescent="0.25">
      <c r="G23">
        <f t="shared" si="2"/>
        <v>29</v>
      </c>
      <c r="H23">
        <v>92</v>
      </c>
      <c r="I23">
        <f t="shared" si="0"/>
        <v>1.8339146358159142</v>
      </c>
      <c r="J23">
        <f t="shared" si="1"/>
        <v>1.683898355993777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7" sqref="C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t="s">
        <v>149</v>
      </c>
      <c r="G1" t="s">
        <v>163</v>
      </c>
    </row>
    <row r="2" spans="1:10" x14ac:dyDescent="0.25">
      <c r="A2">
        <v>5</v>
      </c>
      <c r="B2">
        <v>80</v>
      </c>
    </row>
    <row r="3" spans="1:10" x14ac:dyDescent="0.25">
      <c r="A3">
        <v>23</v>
      </c>
      <c r="B3">
        <v>78</v>
      </c>
      <c r="D3" s="56"/>
      <c r="E3" s="56" t="str">
        <f>A1</f>
        <v>Cigarros</v>
      </c>
      <c r="G3" t="s">
        <v>156</v>
      </c>
      <c r="H3">
        <f>COUNT(A2:A16)</f>
        <v>15</v>
      </c>
      <c r="I3">
        <f>2*H3</f>
        <v>30</v>
      </c>
    </row>
    <row r="4" spans="1:10" x14ac:dyDescent="0.25">
      <c r="A4">
        <v>25</v>
      </c>
      <c r="B4">
        <v>60</v>
      </c>
      <c r="D4" t="s">
        <v>150</v>
      </c>
      <c r="E4">
        <f>[1]!SHAPIRO(A2:A16)</f>
        <v>0.94184782404900258</v>
      </c>
      <c r="G4" t="s">
        <v>157</v>
      </c>
      <c r="H4">
        <f>AVERAGE(A2:A16)</f>
        <v>19.399999999999999</v>
      </c>
    </row>
    <row r="5" spans="1:10" x14ac:dyDescent="0.25">
      <c r="A5">
        <v>48</v>
      </c>
      <c r="B5">
        <v>53</v>
      </c>
      <c r="D5" t="s">
        <v>134</v>
      </c>
      <c r="E5">
        <f>[1]!SWTEST(A2:A16)</f>
        <v>0.40617535743525468</v>
      </c>
      <c r="G5" t="s">
        <v>158</v>
      </c>
      <c r="H5">
        <f>STDEV(A2:A16)</f>
        <v>12.45448857698644</v>
      </c>
    </row>
    <row r="6" spans="1:10" x14ac:dyDescent="0.25">
      <c r="A6">
        <v>17</v>
      </c>
      <c r="B6">
        <v>85</v>
      </c>
      <c r="D6" t="s">
        <v>151</v>
      </c>
      <c r="E6">
        <v>0.05</v>
      </c>
    </row>
    <row r="7" spans="1:10" x14ac:dyDescent="0.25">
      <c r="A7">
        <v>8</v>
      </c>
      <c r="B7">
        <v>84</v>
      </c>
      <c r="D7" s="14" t="s">
        <v>152</v>
      </c>
      <c r="E7" s="57" t="str">
        <f>IF(E5&lt;E6,"no","yes")</f>
        <v>yes</v>
      </c>
      <c r="G7" t="s">
        <v>159</v>
      </c>
      <c r="H7" t="s">
        <v>160</v>
      </c>
      <c r="I7" t="s">
        <v>161</v>
      </c>
      <c r="J7" t="s">
        <v>162</v>
      </c>
    </row>
    <row r="8" spans="1:10" x14ac:dyDescent="0.25">
      <c r="A8">
        <v>4</v>
      </c>
      <c r="B8">
        <v>73</v>
      </c>
      <c r="G8">
        <v>1</v>
      </c>
      <c r="H8">
        <f t="array" ref="H8:H22">[1]!QSORT(A2:A16)</f>
        <v>4</v>
      </c>
      <c r="I8">
        <f>NORMSINV(G8/I$3)</f>
        <v>-1.8339146358159142</v>
      </c>
      <c r="J8">
        <f>STANDARDIZE(H8,H$4,H$5)</f>
        <v>-1.2365019972362663</v>
      </c>
    </row>
    <row r="9" spans="1:10" x14ac:dyDescent="0.25">
      <c r="A9">
        <v>26</v>
      </c>
      <c r="B9">
        <v>79</v>
      </c>
      <c r="D9" t="s">
        <v>153</v>
      </c>
      <c r="G9">
        <f>G8+2</f>
        <v>3</v>
      </c>
      <c r="H9">
        <v>4</v>
      </c>
      <c r="I9">
        <f t="shared" ref="I9:I22" si="0">NORMSINV(G9/I$3)</f>
        <v>-1.2815515655446006</v>
      </c>
      <c r="J9">
        <f t="shared" ref="J9:J22" si="1">STANDARDIZE(H9,H$4,H$5)</f>
        <v>-1.2365019972362663</v>
      </c>
    </row>
    <row r="10" spans="1:10" x14ac:dyDescent="0.25">
      <c r="A10">
        <v>11</v>
      </c>
      <c r="B10">
        <v>81</v>
      </c>
      <c r="G10">
        <f t="shared" ref="G10:G22" si="2">G9+2</f>
        <v>5</v>
      </c>
      <c r="H10">
        <v>5</v>
      </c>
      <c r="I10">
        <f t="shared" si="0"/>
        <v>-0.96742156610170071</v>
      </c>
      <c r="J10">
        <f t="shared" si="1"/>
        <v>-1.156209659753392</v>
      </c>
    </row>
    <row r="11" spans="1:10" x14ac:dyDescent="0.25">
      <c r="A11">
        <v>19</v>
      </c>
      <c r="B11">
        <v>75</v>
      </c>
      <c r="D11" s="58" t="s">
        <v>154</v>
      </c>
      <c r="E11" s="58">
        <f>[1]!DAGOSTINO(A2:A16)</f>
        <v>1.5444716113977859</v>
      </c>
      <c r="G11">
        <f t="shared" si="2"/>
        <v>7</v>
      </c>
      <c r="H11">
        <v>8</v>
      </c>
      <c r="I11">
        <f t="shared" si="0"/>
        <v>-0.72791329088164469</v>
      </c>
      <c r="J11">
        <f t="shared" si="1"/>
        <v>-0.9153326473047686</v>
      </c>
    </row>
    <row r="12" spans="1:10" x14ac:dyDescent="0.25">
      <c r="A12">
        <v>14</v>
      </c>
      <c r="B12">
        <v>68</v>
      </c>
      <c r="D12" t="s">
        <v>134</v>
      </c>
      <c r="E12">
        <f>[1]!DPTEST(A2:A16)</f>
        <v>0.4619790174535896</v>
      </c>
      <c r="G12">
        <f t="shared" si="2"/>
        <v>9</v>
      </c>
      <c r="H12">
        <v>11</v>
      </c>
      <c r="I12">
        <f t="shared" si="0"/>
        <v>-0.52440051270804089</v>
      </c>
      <c r="J12">
        <f t="shared" si="1"/>
        <v>-0.67445563485614524</v>
      </c>
    </row>
    <row r="13" spans="1:10" x14ac:dyDescent="0.25">
      <c r="A13">
        <v>35</v>
      </c>
      <c r="B13">
        <v>72</v>
      </c>
      <c r="D13" t="s">
        <v>151</v>
      </c>
      <c r="E13">
        <v>0.05</v>
      </c>
      <c r="G13">
        <f t="shared" si="2"/>
        <v>11</v>
      </c>
      <c r="H13">
        <v>14</v>
      </c>
      <c r="I13">
        <f t="shared" si="0"/>
        <v>-0.34069482708779553</v>
      </c>
      <c r="J13">
        <f t="shared" si="1"/>
        <v>-0.43357862240752187</v>
      </c>
    </row>
    <row r="14" spans="1:10" x14ac:dyDescent="0.25">
      <c r="A14">
        <v>29</v>
      </c>
      <c r="B14">
        <v>58</v>
      </c>
      <c r="D14" s="14" t="s">
        <v>152</v>
      </c>
      <c r="E14" s="57" t="str">
        <f>IF(E12&lt;E13,"no","yes")</f>
        <v>yes</v>
      </c>
      <c r="G14">
        <f t="shared" si="2"/>
        <v>13</v>
      </c>
      <c r="H14">
        <v>17</v>
      </c>
      <c r="I14">
        <f t="shared" si="0"/>
        <v>-0.16789400478810546</v>
      </c>
      <c r="J14">
        <f t="shared" si="1"/>
        <v>-0.19270160995889857</v>
      </c>
    </row>
    <row r="15" spans="1:10" x14ac:dyDescent="0.25">
      <c r="A15">
        <v>4</v>
      </c>
      <c r="B15">
        <v>92</v>
      </c>
      <c r="G15">
        <f t="shared" si="2"/>
        <v>15</v>
      </c>
      <c r="H15">
        <v>19</v>
      </c>
      <c r="I15">
        <f t="shared" si="0"/>
        <v>0</v>
      </c>
      <c r="J15">
        <f t="shared" si="1"/>
        <v>-3.2116934993149666E-2</v>
      </c>
    </row>
    <row r="16" spans="1:10" x14ac:dyDescent="0.25">
      <c r="A16">
        <v>23</v>
      </c>
      <c r="B16">
        <v>65</v>
      </c>
      <c r="G16">
        <f t="shared" si="2"/>
        <v>17</v>
      </c>
      <c r="H16">
        <v>23</v>
      </c>
      <c r="I16">
        <f t="shared" si="0"/>
        <v>0.16789400478810546</v>
      </c>
      <c r="J16">
        <f t="shared" si="1"/>
        <v>0.2890524149383481</v>
      </c>
    </row>
    <row r="17" spans="7:10" x14ac:dyDescent="0.25">
      <c r="G17">
        <f t="shared" si="2"/>
        <v>19</v>
      </c>
      <c r="H17">
        <v>23</v>
      </c>
      <c r="I17">
        <f t="shared" si="0"/>
        <v>0.34069482708779542</v>
      </c>
      <c r="J17">
        <f t="shared" si="1"/>
        <v>0.2890524149383481</v>
      </c>
    </row>
    <row r="18" spans="7:10" x14ac:dyDescent="0.25">
      <c r="G18">
        <f t="shared" si="2"/>
        <v>21</v>
      </c>
      <c r="H18">
        <v>25</v>
      </c>
      <c r="I18">
        <f t="shared" si="0"/>
        <v>0.52440051270804078</v>
      </c>
      <c r="J18">
        <f t="shared" si="1"/>
        <v>0.44963708990409701</v>
      </c>
    </row>
    <row r="19" spans="7:10" x14ac:dyDescent="0.25">
      <c r="G19">
        <f t="shared" si="2"/>
        <v>23</v>
      </c>
      <c r="H19">
        <v>26</v>
      </c>
      <c r="I19">
        <f t="shared" si="0"/>
        <v>0.72791329088164458</v>
      </c>
      <c r="J19">
        <f t="shared" si="1"/>
        <v>0.52992942738697146</v>
      </c>
    </row>
    <row r="20" spans="7:10" x14ac:dyDescent="0.25">
      <c r="G20">
        <f t="shared" si="2"/>
        <v>25</v>
      </c>
      <c r="H20">
        <v>29</v>
      </c>
      <c r="I20">
        <f t="shared" si="0"/>
        <v>0.96742156610170071</v>
      </c>
      <c r="J20">
        <f t="shared" si="1"/>
        <v>0.77080643983559483</v>
      </c>
    </row>
    <row r="21" spans="7:10" x14ac:dyDescent="0.25">
      <c r="G21">
        <f t="shared" si="2"/>
        <v>27</v>
      </c>
      <c r="H21">
        <v>35</v>
      </c>
      <c r="I21">
        <f t="shared" si="0"/>
        <v>1.2815515655446006</v>
      </c>
      <c r="J21">
        <f t="shared" si="1"/>
        <v>1.2525604647328414</v>
      </c>
    </row>
    <row r="22" spans="7:10" x14ac:dyDescent="0.25">
      <c r="G22">
        <f t="shared" si="2"/>
        <v>29</v>
      </c>
      <c r="H22">
        <v>48</v>
      </c>
      <c r="I22">
        <f t="shared" si="0"/>
        <v>1.8339146358159142</v>
      </c>
      <c r="J22">
        <f t="shared" si="1"/>
        <v>2.2963608520102095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4" sqref="G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D1" s="10"/>
      <c r="E1" s="10"/>
      <c r="F1" s="10"/>
      <c r="G1" s="60"/>
      <c r="H1" s="60"/>
      <c r="I1" s="60"/>
      <c r="J1" s="60"/>
      <c r="K1" s="60"/>
      <c r="L1" s="60"/>
      <c r="M1" s="60"/>
      <c r="N1" s="60"/>
      <c r="O1" s="60"/>
      <c r="P1" s="10"/>
    </row>
    <row r="2" spans="1:16" x14ac:dyDescent="0.25">
      <c r="A2">
        <v>5</v>
      </c>
      <c r="B2">
        <v>80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>
        <v>23</v>
      </c>
      <c r="B3">
        <v>78</v>
      </c>
      <c r="D3" s="10" t="s">
        <v>151</v>
      </c>
      <c r="E3" s="52">
        <v>0.05</v>
      </c>
      <c r="F3" s="10"/>
      <c r="G3" s="59" t="s">
        <v>168</v>
      </c>
      <c r="H3" s="59" t="s">
        <v>169</v>
      </c>
      <c r="I3" s="59" t="s">
        <v>140</v>
      </c>
      <c r="J3" s="59" t="s">
        <v>141</v>
      </c>
      <c r="K3" s="59" t="s">
        <v>170</v>
      </c>
      <c r="L3" s="59" t="s">
        <v>171</v>
      </c>
      <c r="M3" s="59" t="s">
        <v>140</v>
      </c>
      <c r="N3" s="59" t="s">
        <v>141</v>
      </c>
      <c r="O3" s="59" t="s">
        <v>172</v>
      </c>
      <c r="P3" s="10"/>
    </row>
    <row r="4" spans="1:16" x14ac:dyDescent="0.25">
      <c r="A4">
        <v>25</v>
      </c>
      <c r="B4">
        <v>60</v>
      </c>
      <c r="D4" s="10" t="s">
        <v>164</v>
      </c>
      <c r="E4" s="53">
        <f>COUNT(A2:A16)</f>
        <v>15</v>
      </c>
      <c r="F4" s="10"/>
      <c r="G4" s="10">
        <v>4</v>
      </c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>
        <v>48</v>
      </c>
      <c r="B5">
        <v>53</v>
      </c>
      <c r="D5" s="10" t="s">
        <v>165</v>
      </c>
      <c r="E5" s="53">
        <f>AVERAGE(A2:A16)</f>
        <v>19.399999999999999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>
        <v>17</v>
      </c>
      <c r="B6">
        <v>85</v>
      </c>
      <c r="D6" s="10" t="s">
        <v>166</v>
      </c>
      <c r="E6" s="53">
        <f>DEVSQ(A2:A16)</f>
        <v>2171.6000000000004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>
        <v>8</v>
      </c>
      <c r="B7">
        <v>84</v>
      </c>
      <c r="D7" s="10" t="s">
        <v>167</v>
      </c>
      <c r="E7" s="53">
        <f>STEYX(B2:B16,A2:A16)</f>
        <v>7.9746827306891692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>
        <v>4</v>
      </c>
      <c r="B8">
        <v>73</v>
      </c>
      <c r="D8" s="10" t="s">
        <v>61</v>
      </c>
      <c r="E8" s="55">
        <f>TINV(E3,E4-2)</f>
        <v>2.1603686564627926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>
        <v>26</v>
      </c>
      <c r="B9">
        <v>79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>
        <v>11</v>
      </c>
      <c r="B10">
        <v>81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>
        <v>19</v>
      </c>
      <c r="B11">
        <v>75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>
        <v>14</v>
      </c>
      <c r="B12">
        <v>68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>
        <v>35</v>
      </c>
      <c r="B13">
        <v>72</v>
      </c>
    </row>
    <row r="14" spans="1:16" x14ac:dyDescent="0.25">
      <c r="A14">
        <v>29</v>
      </c>
      <c r="B14">
        <v>58</v>
      </c>
    </row>
    <row r="15" spans="1:16" x14ac:dyDescent="0.25">
      <c r="A15">
        <v>4</v>
      </c>
      <c r="B15">
        <v>92</v>
      </c>
    </row>
    <row r="16" spans="1:16" x14ac:dyDescent="0.25">
      <c r="A16">
        <v>23</v>
      </c>
      <c r="B16">
        <v>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86</v>
      </c>
    </row>
    <row r="2" spans="1:9" x14ac:dyDescent="0.25">
      <c r="A2">
        <v>-0.32345100811793692</v>
      </c>
      <c r="C2" t="s">
        <v>149</v>
      </c>
      <c r="F2" t="s">
        <v>173</v>
      </c>
    </row>
    <row r="3" spans="1:9" x14ac:dyDescent="0.25">
      <c r="A3">
        <v>0.84369351768774736</v>
      </c>
    </row>
    <row r="4" spans="1:9" x14ac:dyDescent="0.25">
      <c r="A4">
        <v>-1.2559008806076071</v>
      </c>
      <c r="C4" s="56"/>
      <c r="D4" s="56" t="str">
        <f>A1</f>
        <v>SResidual</v>
      </c>
      <c r="F4" t="s">
        <v>156</v>
      </c>
      <c r="G4">
        <f>COUNT(A2:A16)</f>
        <v>15</v>
      </c>
      <c r="H4">
        <f>2*G4</f>
        <v>30</v>
      </c>
    </row>
    <row r="5" spans="1:9" x14ac:dyDescent="0.25">
      <c r="A5">
        <v>-0.32186882292433971</v>
      </c>
      <c r="C5" t="s">
        <v>150</v>
      </c>
      <c r="D5">
        <f>[1]!SHAPIRO(A2:A16)</f>
        <v>0.89175321988412481</v>
      </c>
      <c r="F5" t="s">
        <v>157</v>
      </c>
      <c r="G5">
        <f>AVERAGE(A2:A16)</f>
        <v>1.0362081563168128E-15</v>
      </c>
    </row>
    <row r="6" spans="1:9" x14ac:dyDescent="0.25">
      <c r="A6">
        <v>1.2488253176250466</v>
      </c>
      <c r="C6" t="s">
        <v>134</v>
      </c>
      <c r="D6">
        <f>[1]!SWTEST(A2:A16)</f>
        <v>7.1285871615744734E-2</v>
      </c>
      <c r="F6" t="s">
        <v>158</v>
      </c>
      <c r="G6">
        <f>STDEV(A2:A16)</f>
        <v>0.96362411165943163</v>
      </c>
    </row>
    <row r="7" spans="1:9" x14ac:dyDescent="0.25">
      <c r="A7">
        <v>0.41445937834140623</v>
      </c>
      <c r="C7" t="s">
        <v>151</v>
      </c>
      <c r="D7">
        <v>0.05</v>
      </c>
    </row>
    <row r="8" spans="1:9" x14ac:dyDescent="0.25">
      <c r="A8">
        <v>-1.2800032200166471</v>
      </c>
      <c r="C8" s="14" t="s">
        <v>152</v>
      </c>
      <c r="D8" s="57" t="str">
        <f>IF(D6&lt;D7,"no","yes")</f>
        <v>yes</v>
      </c>
      <c r="F8" t="s">
        <v>159</v>
      </c>
      <c r="G8" t="s">
        <v>160</v>
      </c>
      <c r="H8" t="s">
        <v>161</v>
      </c>
      <c r="I8" t="s">
        <v>162</v>
      </c>
    </row>
    <row r="9" spans="1:9" x14ac:dyDescent="0.25">
      <c r="A9">
        <v>1.2054133895758929</v>
      </c>
      <c r="F9">
        <v>1</v>
      </c>
      <c r="G9">
        <f t="array" ref="G9:G23">[1]!QSORT(A2:A16)</f>
        <v>-1.2800032200166471</v>
      </c>
      <c r="H9">
        <f>NORMSINV(F9/H$4)</f>
        <v>-1.8339146358159142</v>
      </c>
      <c r="I9">
        <f>STANDARDIZE(G9,G$5,G$6)</f>
        <v>-1.3283221170258894</v>
      </c>
    </row>
    <row r="10" spans="1:9" x14ac:dyDescent="0.25">
      <c r="A10">
        <v>0.27459189746795704</v>
      </c>
      <c r="C10" t="s">
        <v>153</v>
      </c>
      <c r="F10">
        <f>F9+2</f>
        <v>3</v>
      </c>
      <c r="G10">
        <v>-1.2559008806076071</v>
      </c>
      <c r="H10">
        <f t="shared" ref="H10:H23" si="0">NORMSINV(F10/H$4)</f>
        <v>-1.2815515655446006</v>
      </c>
      <c r="I10">
        <f t="shared" ref="I10:I23" si="1">STANDARDIZE(G10,G$5,G$6)</f>
        <v>-1.3033099373622505</v>
      </c>
    </row>
    <row r="11" spans="1:9" x14ac:dyDescent="0.25">
      <c r="A11">
        <v>0.15240562485288731</v>
      </c>
      <c r="F11">
        <f t="shared" ref="F11:F23" si="2">F10+2</f>
        <v>5</v>
      </c>
      <c r="G11">
        <v>-1.1915971787247408</v>
      </c>
      <c r="H11">
        <f t="shared" si="0"/>
        <v>-0.96742156610170071</v>
      </c>
      <c r="I11">
        <f t="shared" si="1"/>
        <v>-1.2365788322510152</v>
      </c>
    </row>
    <row r="12" spans="1:9" x14ac:dyDescent="0.25">
      <c r="A12">
        <v>-1.1192439653094854</v>
      </c>
      <c r="C12" s="58" t="s">
        <v>154</v>
      </c>
      <c r="D12" s="58">
        <f>[1]!DAGOSTINO(A2:A16)</f>
        <v>2.1028144413288401</v>
      </c>
      <c r="F12">
        <f t="shared" si="2"/>
        <v>7</v>
      </c>
      <c r="G12">
        <v>-1.1192439653094854</v>
      </c>
      <c r="H12">
        <f t="shared" si="0"/>
        <v>-0.72791329088164469</v>
      </c>
      <c r="I12">
        <f t="shared" si="1"/>
        <v>-1.1614943542478053</v>
      </c>
    </row>
    <row r="13" spans="1:9" x14ac:dyDescent="0.25">
      <c r="A13">
        <v>1.0366046233363402</v>
      </c>
      <c r="C13" t="s">
        <v>134</v>
      </c>
      <c r="D13">
        <f>[1]!DPTEST(A2:A16)</f>
        <v>0.34944565580248832</v>
      </c>
      <c r="F13">
        <f t="shared" si="2"/>
        <v>9</v>
      </c>
      <c r="G13">
        <v>-0.7864653787874416</v>
      </c>
      <c r="H13">
        <f t="shared" si="0"/>
        <v>-0.52440051270804089</v>
      </c>
      <c r="I13">
        <f t="shared" si="1"/>
        <v>-0.81615369444532826</v>
      </c>
    </row>
    <row r="14" spans="1:9" x14ac:dyDescent="0.25">
      <c r="A14">
        <v>-1.1915971787247408</v>
      </c>
      <c r="C14" t="s">
        <v>151</v>
      </c>
      <c r="D14">
        <v>0.05</v>
      </c>
      <c r="F14">
        <f t="shared" si="2"/>
        <v>11</v>
      </c>
      <c r="G14">
        <v>-0.32345100811793692</v>
      </c>
      <c r="H14">
        <f t="shared" si="0"/>
        <v>-0.34069482708779553</v>
      </c>
      <c r="I14">
        <f t="shared" si="1"/>
        <v>-0.33566097423707209</v>
      </c>
    </row>
    <row r="15" spans="1:9" x14ac:dyDescent="0.25">
      <c r="A15">
        <v>1.1025367056009368</v>
      </c>
      <c r="C15" s="14" t="s">
        <v>152</v>
      </c>
      <c r="D15" s="57" t="str">
        <f>IF(D13&lt;D14,"no","yes")</f>
        <v>yes</v>
      </c>
      <c r="F15">
        <f t="shared" si="2"/>
        <v>13</v>
      </c>
      <c r="G15">
        <v>-0.32186882292433971</v>
      </c>
      <c r="H15">
        <f t="shared" si="0"/>
        <v>-0.16789400478810546</v>
      </c>
      <c r="I15">
        <f t="shared" si="1"/>
        <v>-0.33401906306605278</v>
      </c>
    </row>
    <row r="16" spans="1:9" x14ac:dyDescent="0.25">
      <c r="A16">
        <v>-0.7864653787874416</v>
      </c>
      <c r="F16">
        <f t="shared" si="2"/>
        <v>15</v>
      </c>
      <c r="G16">
        <v>0.15240562485288731</v>
      </c>
      <c r="H16">
        <f t="shared" si="0"/>
        <v>0</v>
      </c>
      <c r="I16">
        <f t="shared" si="1"/>
        <v>0.1581587913885141</v>
      </c>
    </row>
    <row r="17" spans="6:9" x14ac:dyDescent="0.25">
      <c r="F17">
        <f t="shared" si="2"/>
        <v>17</v>
      </c>
      <c r="G17">
        <v>0.27459189746795704</v>
      </c>
      <c r="H17">
        <f t="shared" si="0"/>
        <v>0.16789400478810546</v>
      </c>
      <c r="I17">
        <f t="shared" si="1"/>
        <v>0.28495747890231654</v>
      </c>
    </row>
    <row r="18" spans="6:9" x14ac:dyDescent="0.25">
      <c r="F18">
        <f t="shared" si="2"/>
        <v>19</v>
      </c>
      <c r="G18">
        <v>0.41445937834140623</v>
      </c>
      <c r="H18">
        <f t="shared" si="0"/>
        <v>0.34069482708779542</v>
      </c>
      <c r="I18">
        <f t="shared" si="1"/>
        <v>0.4301048233710919</v>
      </c>
    </row>
    <row r="19" spans="6:9" x14ac:dyDescent="0.25">
      <c r="F19">
        <f t="shared" si="2"/>
        <v>21</v>
      </c>
      <c r="G19">
        <v>0.84369351768774736</v>
      </c>
      <c r="H19">
        <f t="shared" si="0"/>
        <v>0.52440051270804078</v>
      </c>
      <c r="I19">
        <f t="shared" si="1"/>
        <v>0.8755421408404197</v>
      </c>
    </row>
    <row r="20" spans="6:9" x14ac:dyDescent="0.25">
      <c r="F20">
        <f t="shared" si="2"/>
        <v>23</v>
      </c>
      <c r="G20">
        <v>1.0366046233363402</v>
      </c>
      <c r="H20">
        <f t="shared" si="0"/>
        <v>0.72791329088164458</v>
      </c>
      <c r="I20">
        <f t="shared" si="1"/>
        <v>1.0757354561741193</v>
      </c>
    </row>
    <row r="21" spans="6:9" x14ac:dyDescent="0.25">
      <c r="F21">
        <f t="shared" si="2"/>
        <v>25</v>
      </c>
      <c r="G21">
        <v>1.1025367056009368</v>
      </c>
      <c r="H21">
        <f t="shared" si="0"/>
        <v>0.96742156610170071</v>
      </c>
      <c r="I21">
        <f t="shared" si="1"/>
        <v>1.1441564114686653</v>
      </c>
    </row>
    <row r="22" spans="6:9" x14ac:dyDescent="0.25">
      <c r="F22">
        <f t="shared" si="2"/>
        <v>27</v>
      </c>
      <c r="G22">
        <v>1.2054133895758929</v>
      </c>
      <c r="H22">
        <f t="shared" si="0"/>
        <v>1.2815515655446006</v>
      </c>
      <c r="I22">
        <f t="shared" si="1"/>
        <v>1.25091659184418</v>
      </c>
    </row>
    <row r="23" spans="6:9" x14ac:dyDescent="0.25">
      <c r="F23">
        <f t="shared" si="2"/>
        <v>29</v>
      </c>
      <c r="G23">
        <v>1.2488253176250466</v>
      </c>
      <c r="H23">
        <f t="shared" si="0"/>
        <v>1.8339146358159142</v>
      </c>
      <c r="I23">
        <f t="shared" si="1"/>
        <v>1.2959672786461065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Inspeção Gráfica</vt:lpstr>
      <vt:lpstr>ANOVA</vt:lpstr>
      <vt:lpstr>Avaliação do Coef Angular</vt:lpstr>
      <vt:lpstr>Outliers</vt:lpstr>
      <vt:lpstr>Suplemento-Resíduos</vt:lpstr>
      <vt:lpstr>Suplemento-NormalidadeY</vt:lpstr>
      <vt:lpstr>Suplemento-NormalidadeX</vt:lpstr>
      <vt:lpstr>Suplemento-IC95Fit</vt:lpstr>
      <vt:lpstr>Suplemento-NormalidadeSRes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</dc:creator>
  <cp:lastModifiedBy>logonlb</cp:lastModifiedBy>
  <dcterms:created xsi:type="dcterms:W3CDTF">2018-06-16T07:52:13Z</dcterms:created>
  <dcterms:modified xsi:type="dcterms:W3CDTF">2018-06-16T19:13:55Z</dcterms:modified>
</cp:coreProperties>
</file>