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Estatística\Aulas\Regressão Linear - 16-06-2018\Prova Prof Giovani\"/>
    </mc:Choice>
  </mc:AlternateContent>
  <bookViews>
    <workbookView xWindow="0" yWindow="0" windowWidth="21600" windowHeight="9630"/>
  </bookViews>
  <sheets>
    <sheet name="Planilha1" sheetId="1" r:id="rId1"/>
    <sheet name="Planilha2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" i="1"/>
  <c r="W6" i="2" l="1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5" i="2"/>
  <c r="AE8" i="2"/>
  <c r="AE6" i="2"/>
  <c r="AE7" i="2" s="1"/>
  <c r="AE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5" i="2"/>
  <c r="T5" i="2" a="1"/>
  <c r="T5" i="2" s="1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4" i="2"/>
  <c r="Q7" i="2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6" i="2"/>
  <c r="E19" i="2" a="1"/>
  <c r="E19" i="2"/>
  <c r="G15" i="2"/>
  <c r="F15" i="2"/>
  <c r="F14" i="2"/>
  <c r="F13" i="2"/>
  <c r="F9" i="2"/>
  <c r="N6" i="2" a="1"/>
  <c r="V5" i="2" a="1"/>
  <c r="F18" i="2" a="1"/>
  <c r="V12" i="2" l="1"/>
  <c r="V20" i="2"/>
  <c r="V23" i="2"/>
  <c r="V8" i="2"/>
  <c r="V24" i="2"/>
  <c r="V19" i="2"/>
  <c r="V5" i="2"/>
  <c r="V13" i="2"/>
  <c r="V21" i="2"/>
  <c r="V7" i="2"/>
  <c r="V17" i="2"/>
  <c r="V11" i="2"/>
  <c r="V6" i="2"/>
  <c r="V14" i="2"/>
  <c r="V22" i="2"/>
  <c r="V15" i="2"/>
  <c r="V16" i="2"/>
  <c r="V9" i="2"/>
  <c r="V18" i="2"/>
  <c r="V10" i="2"/>
  <c r="T19" i="2"/>
  <c r="T20" i="2"/>
  <c r="T12" i="2"/>
  <c r="T11" i="2"/>
  <c r="T18" i="2"/>
  <c r="T10" i="2"/>
  <c r="T17" i="2"/>
  <c r="T9" i="2"/>
  <c r="T24" i="2"/>
  <c r="T16" i="2"/>
  <c r="T8" i="2"/>
  <c r="T23" i="2"/>
  <c r="T15" i="2"/>
  <c r="T7" i="2"/>
  <c r="T22" i="2"/>
  <c r="T14" i="2"/>
  <c r="T6" i="2"/>
  <c r="T21" i="2"/>
  <c r="T13" i="2"/>
  <c r="N6" i="2"/>
  <c r="N7" i="2"/>
  <c r="O7" i="2"/>
  <c r="N8" i="2"/>
  <c r="O8" i="2"/>
  <c r="N9" i="2"/>
  <c r="O9" i="2"/>
  <c r="O6" i="2"/>
  <c r="F18" i="2"/>
  <c r="G18" i="2"/>
  <c r="F19" i="2"/>
  <c r="G19" i="2"/>
  <c r="F5" i="1"/>
  <c r="F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  <c r="I1" i="1"/>
  <c r="J18" i="2" l="1"/>
  <c r="H18" i="2"/>
  <c r="I18" i="2" s="1"/>
  <c r="K18" i="2"/>
  <c r="X15" i="2"/>
  <c r="Y15" i="2" s="1"/>
  <c r="AA15" i="2"/>
  <c r="AA13" i="2"/>
  <c r="X13" i="2"/>
  <c r="Y13" i="2" s="1"/>
  <c r="X18" i="2"/>
  <c r="Y18" i="2" s="1"/>
  <c r="AA18" i="2"/>
  <c r="X16" i="2"/>
  <c r="Y16" i="2" s="1"/>
  <c r="AA16" i="2"/>
  <c r="AA12" i="2"/>
  <c r="X12" i="2"/>
  <c r="Y12" i="2" s="1"/>
  <c r="AA22" i="2"/>
  <c r="X22" i="2"/>
  <c r="Y22" i="2" s="1"/>
  <c r="X5" i="2"/>
  <c r="Y5" i="2" s="1"/>
  <c r="AA5" i="2"/>
  <c r="J19" i="2"/>
  <c r="H19" i="2"/>
  <c r="I19" i="2" s="1"/>
  <c r="K19" i="2"/>
  <c r="X7" i="2"/>
  <c r="Y7" i="2" s="1"/>
  <c r="AA7" i="2"/>
  <c r="X14" i="2"/>
  <c r="Y14" i="2" s="1"/>
  <c r="AA14" i="2"/>
  <c r="X19" i="2"/>
  <c r="Y19" i="2" s="1"/>
  <c r="AA19" i="2"/>
  <c r="X23" i="2"/>
  <c r="Y23" i="2" s="1"/>
  <c r="AA23" i="2"/>
  <c r="AA9" i="2"/>
  <c r="X9" i="2"/>
  <c r="Y9" i="2" s="1"/>
  <c r="X21" i="2"/>
  <c r="Y21" i="2" s="1"/>
  <c r="AA21" i="2"/>
  <c r="AA6" i="2"/>
  <c r="X6" i="2"/>
  <c r="Y6" i="2" s="1"/>
  <c r="AA24" i="2"/>
  <c r="X24" i="2"/>
  <c r="Y24" i="2" s="1"/>
  <c r="X17" i="2"/>
  <c r="Y17" i="2" s="1"/>
  <c r="AA17" i="2"/>
  <c r="X20" i="2"/>
  <c r="Y20" i="2" s="1"/>
  <c r="AA20" i="2"/>
  <c r="AA10" i="2"/>
  <c r="X10" i="2"/>
  <c r="Y10" i="2" s="1"/>
  <c r="AA11" i="2"/>
  <c r="X11" i="2"/>
  <c r="Y11" i="2" s="1"/>
  <c r="AA8" i="2"/>
  <c r="X8" i="2"/>
  <c r="Y8" i="2" s="1"/>
  <c r="F2" i="1"/>
  <c r="F1" i="1"/>
  <c r="G13" i="2"/>
  <c r="F6" i="2" l="1"/>
  <c r="F5" i="2" s="1"/>
  <c r="G14" i="2"/>
  <c r="Z6" i="2"/>
  <c r="AB6" i="2"/>
  <c r="AB16" i="2"/>
  <c r="Z16" i="2"/>
  <c r="AB18" i="2"/>
  <c r="Z18" i="2"/>
  <c r="AB21" i="2"/>
  <c r="Z21" i="2"/>
  <c r="Z14" i="2"/>
  <c r="AB14" i="2"/>
  <c r="AB22" i="2"/>
  <c r="Z22" i="2"/>
  <c r="Z13" i="2"/>
  <c r="AB13" i="2"/>
  <c r="Z11" i="2"/>
  <c r="AB11" i="2"/>
  <c r="AB24" i="2"/>
  <c r="Z24" i="2"/>
  <c r="Z23" i="2"/>
  <c r="AB23" i="2"/>
  <c r="AB10" i="2"/>
  <c r="Z10" i="2"/>
  <c r="AB19" i="2"/>
  <c r="Z19" i="2"/>
  <c r="AB5" i="2"/>
  <c r="Z5" i="2"/>
  <c r="AB8" i="2"/>
  <c r="Z8" i="2"/>
  <c r="Z9" i="2"/>
  <c r="AB9" i="2"/>
  <c r="AB20" i="2"/>
  <c r="Z20" i="2"/>
  <c r="Z17" i="2"/>
  <c r="AB17" i="2"/>
  <c r="Z7" i="2"/>
  <c r="AB7" i="2"/>
  <c r="AB12" i="2"/>
  <c r="Z12" i="2"/>
  <c r="Z15" i="2"/>
  <c r="AB15" i="2"/>
  <c r="H13" i="2"/>
  <c r="H14" i="2"/>
  <c r="F8" i="2" s="1"/>
  <c r="I7" i="2"/>
  <c r="I5" i="2"/>
  <c r="I6" i="2" s="1"/>
  <c r="F7" i="2"/>
  <c r="I13" i="2" l="1"/>
  <c r="J13" i="2" s="1"/>
  <c r="K13" i="2" s="1"/>
</calcChain>
</file>

<file path=xl/sharedStrings.xml><?xml version="1.0" encoding="utf-8"?>
<sst xmlns="http://schemas.openxmlformats.org/spreadsheetml/2006/main" count="59" uniqueCount="52">
  <si>
    <t>Participante</t>
  </si>
  <si>
    <t>Conhecimento</t>
  </si>
  <si>
    <t>Consumo (mg/dia)</t>
  </si>
  <si>
    <t>Correlação</t>
  </si>
  <si>
    <t>Regressão</t>
  </si>
  <si>
    <t>Beta 1 (a)</t>
  </si>
  <si>
    <t>Beta 0 (b)</t>
  </si>
  <si>
    <t>n</t>
  </si>
  <si>
    <t>X*Y</t>
  </si>
  <si>
    <t>X²</t>
  </si>
  <si>
    <t>Regression Analysis</t>
  </si>
  <si>
    <t>OVERALL FIT</t>
  </si>
  <si>
    <t>Multiple R</t>
  </si>
  <si>
    <t>R Square</t>
  </si>
  <si>
    <t>Adjusted R Square</t>
  </si>
  <si>
    <t>Standard Error</t>
  </si>
  <si>
    <t>Observations</t>
  </si>
  <si>
    <t>AIC</t>
  </si>
  <si>
    <t>AICc</t>
  </si>
  <si>
    <t>SBC</t>
  </si>
  <si>
    <t>ANOVA</t>
  </si>
  <si>
    <t>Alpha</t>
  </si>
  <si>
    <t>df</t>
  </si>
  <si>
    <t>SS</t>
  </si>
  <si>
    <t>MS</t>
  </si>
  <si>
    <t>F</t>
  </si>
  <si>
    <t>p-value</t>
  </si>
  <si>
    <t>sig</t>
  </si>
  <si>
    <t>Regression</t>
  </si>
  <si>
    <t>Residual</t>
  </si>
  <si>
    <t>Total</t>
  </si>
  <si>
    <t>coeff</t>
  </si>
  <si>
    <t>std err</t>
  </si>
  <si>
    <t>t stat</t>
  </si>
  <si>
    <t>lower</t>
  </si>
  <si>
    <t>upper</t>
  </si>
  <si>
    <t>Intercept</t>
  </si>
  <si>
    <t>Durbin-Watson Test</t>
  </si>
  <si>
    <t>Cook's D</t>
  </si>
  <si>
    <t>Obs</t>
  </si>
  <si>
    <t>Pred Y</t>
  </si>
  <si>
    <t>Leverage</t>
  </si>
  <si>
    <t>SResidual</t>
  </si>
  <si>
    <t>Mod MSE</t>
  </si>
  <si>
    <t>RStudent</t>
  </si>
  <si>
    <t>T-Test</t>
  </si>
  <si>
    <t>DFFITS</t>
  </si>
  <si>
    <t>SSE</t>
  </si>
  <si>
    <t>dfE</t>
  </si>
  <si>
    <t>MSE</t>
  </si>
  <si>
    <t>k</t>
  </si>
  <si>
    <t>Consumo (Estimado)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</si>
</sst>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elipe\AppData\Roaming\Microsoft\Suplementos\RealStats-Excel2013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DESIGN"/>
      <definedName name="DURBIN"/>
      <definedName name="LEVERAGE"/>
      <definedName name="RegCoef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B1" workbookViewId="0">
      <selection activeCell="E1" sqref="E1:F5"/>
    </sheetView>
  </sheetViews>
  <sheetFormatPr defaultRowHeight="15" x14ac:dyDescent="0.25"/>
  <cols>
    <col min="1" max="1" width="11.7109375" bestFit="1" customWidth="1"/>
    <col min="2" max="2" width="14.140625" bestFit="1" customWidth="1"/>
    <col min="3" max="3" width="17.7109375" bestFit="1" customWidth="1"/>
    <col min="4" max="4" width="17.85546875" customWidth="1"/>
    <col min="5" max="5" width="10.42578125" bestFit="1" customWidth="1"/>
    <col min="6" max="6" width="39.140625" bestFit="1" customWidth="1"/>
    <col min="8" max="8" width="9.140625" style="2"/>
    <col min="14" max="14" width="19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E1" s="1" t="s">
        <v>3</v>
      </c>
      <c r="F1">
        <f>CORREL(B2:B21,C2:C21)</f>
        <v>0.88225513799049016</v>
      </c>
      <c r="H1" s="2" t="s">
        <v>7</v>
      </c>
      <c r="I1">
        <f>COUNT(A:A)</f>
        <v>20</v>
      </c>
      <c r="K1" s="1" t="s">
        <v>8</v>
      </c>
      <c r="L1" s="1" t="s">
        <v>9</v>
      </c>
      <c r="N1" s="1" t="s">
        <v>51</v>
      </c>
    </row>
    <row r="2" spans="1:14" x14ac:dyDescent="0.25">
      <c r="A2">
        <v>1</v>
      </c>
      <c r="B2">
        <v>10</v>
      </c>
      <c r="C2">
        <v>450</v>
      </c>
      <c r="E2" s="1" t="s">
        <v>4</v>
      </c>
      <c r="F2" t="str">
        <f>CONCATENATE("Y=",F4,"*X + ",F5)</f>
        <v>Y=13,8972002748196*X + 373,742871865338</v>
      </c>
      <c r="K2">
        <f>B2*C2</f>
        <v>4500</v>
      </c>
      <c r="L2">
        <f>B2^2</f>
        <v>100</v>
      </c>
      <c r="N2">
        <f>$F$5+$F$4*B2</f>
        <v>512.7148746135349</v>
      </c>
    </row>
    <row r="3" spans="1:14" x14ac:dyDescent="0.25">
      <c r="A3">
        <v>2</v>
      </c>
      <c r="B3">
        <v>42</v>
      </c>
      <c r="C3">
        <v>1050</v>
      </c>
      <c r="K3">
        <f t="shared" ref="K3:K21" si="0">B3*C3</f>
        <v>44100</v>
      </c>
      <c r="L3">
        <f t="shared" ref="L3:L21" si="1">B3^2</f>
        <v>1764</v>
      </c>
      <c r="N3">
        <f t="shared" ref="N3:N22" si="2">$F$5+$F$4*B3</f>
        <v>957.42528340776357</v>
      </c>
    </row>
    <row r="4" spans="1:14" x14ac:dyDescent="0.25">
      <c r="A4">
        <v>3</v>
      </c>
      <c r="B4">
        <v>38</v>
      </c>
      <c r="C4">
        <v>900</v>
      </c>
      <c r="E4" s="1" t="s">
        <v>5</v>
      </c>
      <c r="F4">
        <f>(I1*SUM(K2:K21)-(SUM(B2:B21)*SUM(C2:C21)))/(I1*SUM(L2:L21)-(SUM(B2:B21))^2)</f>
        <v>13.897200274819649</v>
      </c>
      <c r="K4">
        <f t="shared" si="0"/>
        <v>34200</v>
      </c>
      <c r="L4">
        <f t="shared" si="1"/>
        <v>1444</v>
      </c>
      <c r="N4">
        <f t="shared" si="2"/>
        <v>901.83648230848507</v>
      </c>
    </row>
    <row r="5" spans="1:14" x14ac:dyDescent="0.25">
      <c r="A5">
        <v>4</v>
      </c>
      <c r="B5">
        <v>15</v>
      </c>
      <c r="C5">
        <v>525</v>
      </c>
      <c r="E5" s="1" t="s">
        <v>6</v>
      </c>
      <c r="F5">
        <f>(SUM(L2:L21)*SUM(C2:C21)-SUM(K2:K21)*SUM(B2:B21))/(I1*SUM(L2:L21)-(SUM(B2:B21))^2)</f>
        <v>373.74287186533837</v>
      </c>
      <c r="K5">
        <f t="shared" si="0"/>
        <v>7875</v>
      </c>
      <c r="L5">
        <f t="shared" si="1"/>
        <v>225</v>
      </c>
      <c r="N5">
        <f t="shared" si="2"/>
        <v>582.20087598763314</v>
      </c>
    </row>
    <row r="6" spans="1:14" x14ac:dyDescent="0.25">
      <c r="A6">
        <v>5</v>
      </c>
      <c r="B6">
        <v>22</v>
      </c>
      <c r="C6">
        <v>710</v>
      </c>
      <c r="K6">
        <f t="shared" si="0"/>
        <v>15620</v>
      </c>
      <c r="L6">
        <f t="shared" si="1"/>
        <v>484</v>
      </c>
      <c r="N6">
        <f t="shared" si="2"/>
        <v>679.48127791137063</v>
      </c>
    </row>
    <row r="7" spans="1:14" x14ac:dyDescent="0.25">
      <c r="A7">
        <v>6</v>
      </c>
      <c r="B7">
        <v>32</v>
      </c>
      <c r="C7">
        <v>854</v>
      </c>
      <c r="K7">
        <f t="shared" si="0"/>
        <v>27328</v>
      </c>
      <c r="L7">
        <f t="shared" si="1"/>
        <v>1024</v>
      </c>
      <c r="N7">
        <f t="shared" si="2"/>
        <v>818.4532806595671</v>
      </c>
    </row>
    <row r="8" spans="1:14" x14ac:dyDescent="0.25">
      <c r="A8">
        <v>7</v>
      </c>
      <c r="B8">
        <v>40</v>
      </c>
      <c r="C8">
        <v>800</v>
      </c>
      <c r="K8">
        <f t="shared" si="0"/>
        <v>32000</v>
      </c>
      <c r="L8">
        <f t="shared" si="1"/>
        <v>1600</v>
      </c>
      <c r="N8">
        <f t="shared" si="2"/>
        <v>929.63088285812432</v>
      </c>
    </row>
    <row r="9" spans="1:14" x14ac:dyDescent="0.25">
      <c r="A9">
        <v>8</v>
      </c>
      <c r="B9">
        <v>14</v>
      </c>
      <c r="C9">
        <v>493</v>
      </c>
      <c r="K9">
        <f t="shared" si="0"/>
        <v>6902</v>
      </c>
      <c r="L9">
        <f t="shared" si="1"/>
        <v>196</v>
      </c>
      <c r="N9">
        <f t="shared" si="2"/>
        <v>568.3036757128134</v>
      </c>
    </row>
    <row r="10" spans="1:14" x14ac:dyDescent="0.25">
      <c r="A10">
        <v>9</v>
      </c>
      <c r="B10">
        <v>26</v>
      </c>
      <c r="C10">
        <v>730</v>
      </c>
      <c r="K10">
        <f t="shared" si="0"/>
        <v>18980</v>
      </c>
      <c r="L10">
        <f t="shared" si="1"/>
        <v>676</v>
      </c>
      <c r="N10">
        <f t="shared" si="2"/>
        <v>735.07007901064924</v>
      </c>
    </row>
    <row r="11" spans="1:14" x14ac:dyDescent="0.25">
      <c r="A11">
        <v>10</v>
      </c>
      <c r="B11">
        <v>32</v>
      </c>
      <c r="C11">
        <v>894</v>
      </c>
      <c r="K11">
        <f t="shared" si="0"/>
        <v>28608</v>
      </c>
      <c r="L11">
        <f t="shared" si="1"/>
        <v>1024</v>
      </c>
      <c r="N11">
        <f t="shared" si="2"/>
        <v>818.4532806595671</v>
      </c>
    </row>
    <row r="12" spans="1:14" x14ac:dyDescent="0.25">
      <c r="A12">
        <v>11</v>
      </c>
      <c r="B12">
        <v>38</v>
      </c>
      <c r="C12">
        <v>940</v>
      </c>
      <c r="K12">
        <f t="shared" si="0"/>
        <v>35720</v>
      </c>
      <c r="L12">
        <f t="shared" si="1"/>
        <v>1444</v>
      </c>
      <c r="N12">
        <f t="shared" si="2"/>
        <v>901.83648230848507</v>
      </c>
    </row>
    <row r="13" spans="1:14" x14ac:dyDescent="0.25">
      <c r="A13">
        <v>12</v>
      </c>
      <c r="B13">
        <v>25</v>
      </c>
      <c r="C13">
        <v>733</v>
      </c>
      <c r="K13">
        <f t="shared" si="0"/>
        <v>18325</v>
      </c>
      <c r="L13">
        <f t="shared" si="1"/>
        <v>625</v>
      </c>
      <c r="N13">
        <f t="shared" si="2"/>
        <v>721.17287873582961</v>
      </c>
    </row>
    <row r="14" spans="1:14" x14ac:dyDescent="0.25">
      <c r="A14">
        <v>13</v>
      </c>
      <c r="B14">
        <v>48</v>
      </c>
      <c r="C14">
        <v>985</v>
      </c>
      <c r="K14">
        <f t="shared" si="0"/>
        <v>47280</v>
      </c>
      <c r="L14">
        <f t="shared" si="1"/>
        <v>2304</v>
      </c>
      <c r="N14">
        <f t="shared" si="2"/>
        <v>1040.8084850566815</v>
      </c>
    </row>
    <row r="15" spans="1:14" x14ac:dyDescent="0.25">
      <c r="A15">
        <v>14</v>
      </c>
      <c r="B15">
        <v>28</v>
      </c>
      <c r="C15">
        <v>763</v>
      </c>
      <c r="K15">
        <f t="shared" si="0"/>
        <v>21364</v>
      </c>
      <c r="L15">
        <f t="shared" si="1"/>
        <v>784</v>
      </c>
      <c r="N15">
        <f t="shared" si="2"/>
        <v>762.8644795602886</v>
      </c>
    </row>
    <row r="16" spans="1:14" x14ac:dyDescent="0.25">
      <c r="A16">
        <v>15</v>
      </c>
      <c r="B16">
        <v>22</v>
      </c>
      <c r="C16">
        <v>583</v>
      </c>
      <c r="K16">
        <f t="shared" si="0"/>
        <v>12826</v>
      </c>
      <c r="L16">
        <f t="shared" si="1"/>
        <v>484</v>
      </c>
      <c r="N16">
        <f t="shared" si="2"/>
        <v>679.48127791137063</v>
      </c>
    </row>
    <row r="17" spans="1:14" x14ac:dyDescent="0.25">
      <c r="A17">
        <v>16</v>
      </c>
      <c r="B17">
        <v>45</v>
      </c>
      <c r="C17">
        <v>850</v>
      </c>
      <c r="K17">
        <f t="shared" si="0"/>
        <v>38250</v>
      </c>
      <c r="L17">
        <f t="shared" si="1"/>
        <v>2025</v>
      </c>
      <c r="N17">
        <f t="shared" si="2"/>
        <v>999.11688423222267</v>
      </c>
    </row>
    <row r="18" spans="1:14" x14ac:dyDescent="0.25">
      <c r="A18">
        <v>17</v>
      </c>
      <c r="B18">
        <v>18</v>
      </c>
      <c r="C18">
        <v>798</v>
      </c>
      <c r="K18">
        <f t="shared" si="0"/>
        <v>14364</v>
      </c>
      <c r="L18">
        <f t="shared" si="1"/>
        <v>324</v>
      </c>
      <c r="N18">
        <f t="shared" si="2"/>
        <v>623.89247681209213</v>
      </c>
    </row>
    <row r="19" spans="1:14" x14ac:dyDescent="0.25">
      <c r="A19">
        <v>18</v>
      </c>
      <c r="B19">
        <v>24</v>
      </c>
      <c r="C19">
        <v>754</v>
      </c>
      <c r="K19">
        <f t="shared" si="0"/>
        <v>18096</v>
      </c>
      <c r="L19">
        <f t="shared" si="1"/>
        <v>576</v>
      </c>
      <c r="N19">
        <f t="shared" si="2"/>
        <v>707.27567846100987</v>
      </c>
    </row>
    <row r="20" spans="1:14" x14ac:dyDescent="0.25">
      <c r="A20">
        <v>19</v>
      </c>
      <c r="B20">
        <v>30</v>
      </c>
      <c r="C20">
        <v>805</v>
      </c>
      <c r="K20">
        <f t="shared" si="0"/>
        <v>24150</v>
      </c>
      <c r="L20">
        <f t="shared" si="1"/>
        <v>900</v>
      </c>
      <c r="N20">
        <f t="shared" si="2"/>
        <v>790.65888010992785</v>
      </c>
    </row>
    <row r="21" spans="1:14" x14ac:dyDescent="0.25">
      <c r="A21">
        <v>20</v>
      </c>
      <c r="B21">
        <v>43</v>
      </c>
      <c r="C21">
        <v>1085</v>
      </c>
      <c r="K21">
        <f t="shared" si="0"/>
        <v>46655</v>
      </c>
      <c r="L21">
        <f t="shared" si="1"/>
        <v>1849</v>
      </c>
      <c r="N21">
        <f t="shared" si="2"/>
        <v>971.3224836825832</v>
      </c>
    </row>
    <row r="22" spans="1:14" x14ac:dyDescent="0.25">
      <c r="B22">
        <v>50</v>
      </c>
      <c r="N22">
        <f t="shared" si="2"/>
        <v>1068.6028856063208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workbookViewId="0">
      <selection activeCell="F7" sqref="F7"/>
    </sheetView>
  </sheetViews>
  <sheetFormatPr defaultRowHeight="15" x14ac:dyDescent="0.25"/>
  <cols>
    <col min="1" max="1" width="11.7109375" bestFit="1" customWidth="1"/>
    <col min="2" max="2" width="14.140625" bestFit="1" customWidth="1"/>
    <col min="3" max="3" width="17.7109375" bestFit="1" customWidth="1"/>
    <col min="5" max="5" width="18.7109375" bestFit="1" customWidth="1"/>
    <col min="6" max="11" width="12" bestFit="1" customWidth="1"/>
    <col min="14" max="14" width="18.85546875" bestFit="1" customWidth="1"/>
    <col min="17" max="17" width="8.42578125" bestFit="1" customWidth="1"/>
    <col min="18" max="18" width="14.28515625" bestFit="1" customWidth="1"/>
    <col min="19" max="19" width="18.42578125" bestFit="1" customWidth="1"/>
    <col min="20" max="20" width="12" bestFit="1" customWidth="1"/>
    <col min="21" max="21" width="12.7109375" bestFit="1" customWidth="1"/>
    <col min="22" max="22" width="12" bestFit="1" customWidth="1"/>
    <col min="23" max="23" width="12.7109375" bestFit="1" customWidth="1"/>
    <col min="24" max="24" width="12" bestFit="1" customWidth="1"/>
    <col min="25" max="25" width="12.7109375" bestFit="1" customWidth="1"/>
    <col min="26" max="27" width="12" bestFit="1" customWidth="1"/>
    <col min="28" max="28" width="12.71093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</row>
    <row r="2" spans="1:31" x14ac:dyDescent="0.25">
      <c r="A2">
        <v>1</v>
      </c>
      <c r="B2">
        <v>10</v>
      </c>
      <c r="C2">
        <v>450</v>
      </c>
      <c r="E2" t="s">
        <v>10</v>
      </c>
      <c r="N2" t="s">
        <v>37</v>
      </c>
      <c r="Q2" t="s">
        <v>38</v>
      </c>
    </row>
    <row r="3" spans="1:31" ht="15.75" thickBot="1" x14ac:dyDescent="0.3">
      <c r="A3">
        <v>2</v>
      </c>
      <c r="B3">
        <v>42</v>
      </c>
      <c r="C3">
        <v>1050</v>
      </c>
    </row>
    <row r="4" spans="1:31" ht="16.5" thickTop="1" thickBot="1" x14ac:dyDescent="0.3">
      <c r="A4">
        <v>3</v>
      </c>
      <c r="B4">
        <v>38</v>
      </c>
      <c r="C4">
        <v>900</v>
      </c>
      <c r="E4" s="3" t="s">
        <v>11</v>
      </c>
      <c r="F4" s="3"/>
      <c r="H4" s="3"/>
      <c r="I4" s="3"/>
      <c r="N4" t="s">
        <v>21</v>
      </c>
      <c r="O4" s="7">
        <v>0.05</v>
      </c>
      <c r="Q4" s="6" t="s">
        <v>39</v>
      </c>
      <c r="R4" s="6" t="str">
        <f>B1</f>
        <v>Conhecimento</v>
      </c>
      <c r="S4" s="6" t="str">
        <f>C1</f>
        <v>Consumo (mg/dia)</v>
      </c>
      <c r="T4" s="6" t="s">
        <v>40</v>
      </c>
      <c r="U4" s="6" t="s">
        <v>29</v>
      </c>
      <c r="V4" s="6" t="s">
        <v>41</v>
      </c>
      <c r="W4" s="6" t="s">
        <v>42</v>
      </c>
      <c r="X4" s="6" t="s">
        <v>43</v>
      </c>
      <c r="Y4" s="6" t="s">
        <v>44</v>
      </c>
      <c r="Z4" s="6" t="s">
        <v>45</v>
      </c>
      <c r="AA4" s="6" t="s">
        <v>38</v>
      </c>
      <c r="AB4" s="6" t="s">
        <v>46</v>
      </c>
    </row>
    <row r="5" spans="1:31" ht="15.75" thickTop="1" x14ac:dyDescent="0.25">
      <c r="A5">
        <v>4</v>
      </c>
      <c r="B5">
        <v>15</v>
      </c>
      <c r="C5">
        <v>525</v>
      </c>
      <c r="E5" t="s">
        <v>12</v>
      </c>
      <c r="F5">
        <f>SQRT(F6)</f>
        <v>0.88225513799049005</v>
      </c>
      <c r="H5" t="s">
        <v>17</v>
      </c>
      <c r="I5">
        <f>F9*LN(G14/F9)+2*(F13+1)</f>
        <v>179.29068647023308</v>
      </c>
      <c r="Q5">
        <v>1</v>
      </c>
      <c r="R5">
        <f t="shared" ref="R5:R24" si="0">B2</f>
        <v>10</v>
      </c>
      <c r="S5">
        <f t="shared" ref="S5:S24" si="1">C2</f>
        <v>450</v>
      </c>
      <c r="T5">
        <f t="array" ref="T5:T24">TREND(C2:C21,B2:B21)</f>
        <v>512.7148746135349</v>
      </c>
      <c r="U5">
        <f>S5-T5</f>
        <v>-62.714874613534903</v>
      </c>
      <c r="V5">
        <f t="array" ref="V5:V24">[1]!LEVERAGE(B2:B21)</f>
        <v>0.2149604946753691</v>
      </c>
      <c r="W5">
        <f>U5/SQRT($AE$7)</f>
        <v>-0.74352806591937759</v>
      </c>
      <c r="X5">
        <f>($AE$7-U5^2/((1-V5)*$AE$6))*$AE$6/($AE$6-1)</f>
        <v>7238.3207478265376</v>
      </c>
      <c r="Y5">
        <f>U5/SQRT(X5*(1-V5))</f>
        <v>-0.83196659766006875</v>
      </c>
      <c r="Z5">
        <f>TDIST(ABS(Y5),$AE$6,2)</f>
        <v>0.41632928895441401</v>
      </c>
      <c r="AA5">
        <f>(U5^2/$AE$7)*(V5/(1-V5)^2)/($AE$8+1)</f>
        <v>9.6414058744326792E-2</v>
      </c>
      <c r="AB5">
        <f>Y5*SQRT(V5/(1-V5))</f>
        <v>-0.43535091405592513</v>
      </c>
      <c r="AD5" t="s">
        <v>47</v>
      </c>
      <c r="AE5" s="8">
        <f>DEVSQ(U5:U24)</f>
        <v>128061.58974579189</v>
      </c>
    </row>
    <row r="6" spans="1:31" x14ac:dyDescent="0.25">
      <c r="A6">
        <v>5</v>
      </c>
      <c r="B6">
        <v>22</v>
      </c>
      <c r="C6">
        <v>710</v>
      </c>
      <c r="E6" t="s">
        <v>13</v>
      </c>
      <c r="F6">
        <f>G13/G15</f>
        <v>0.7783741285106186</v>
      </c>
      <c r="H6" t="s">
        <v>18</v>
      </c>
      <c r="I6">
        <f>I5+2*(F13+2)*(F13+3)/(F9-F13-3)</f>
        <v>180.79068647023308</v>
      </c>
      <c r="N6" t="str">
        <f t="array" ref="N6:O9">[1]!DURBIN(B2:B21,C2:C21,TRUE,O4)</f>
        <v>D-stat</v>
      </c>
      <c r="O6" s="8">
        <v>1.8662745569275474</v>
      </c>
      <c r="Q6">
        <f>Q5+1</f>
        <v>2</v>
      </c>
      <c r="R6">
        <f t="shared" si="0"/>
        <v>42</v>
      </c>
      <c r="S6">
        <f t="shared" si="1"/>
        <v>1050</v>
      </c>
      <c r="T6">
        <v>957.42528340776357</v>
      </c>
      <c r="U6">
        <f t="shared" ref="U6:U24" si="2">S6-T6</f>
        <v>92.574716592236427</v>
      </c>
      <c r="V6">
        <v>0.11602542081758838</v>
      </c>
      <c r="W6">
        <f t="shared" ref="W6:W24" si="3">U6/SQRT($AE$7)</f>
        <v>1.0975370740198374</v>
      </c>
      <c r="X6">
        <f t="shared" ref="X6:X24" si="4">($AE$7-U6^2/((1-V6)*$AE$6))*$AE$6/($AE$6-1)</f>
        <v>6962.7442593767346</v>
      </c>
      <c r="Y6">
        <f t="shared" ref="Y6:Y24" si="5">U6/SQRT(X6*(1-V6))</f>
        <v>1.1800007442533149</v>
      </c>
      <c r="Z6">
        <f t="shared" ref="Z6:Z24" si="6">TDIST(ABS(Y6),$AE$6,2)</f>
        <v>0.25336020145463617</v>
      </c>
      <c r="AA6">
        <f t="shared" ref="AA6:AA24" si="7">(U6^2/$AE$7)*(V6/(1-V6)^2)/($AE$8+1)</f>
        <v>8.9429747225226106E-2</v>
      </c>
      <c r="AB6">
        <f t="shared" ref="AB6:AB24" si="8">Y6*SQRT(V6/(1-V6))</f>
        <v>0.42750280570139587</v>
      </c>
      <c r="AD6" t="s">
        <v>48</v>
      </c>
      <c r="AE6" s="9">
        <f>COUNT(C2:C21)-AE8-1</f>
        <v>18</v>
      </c>
    </row>
    <row r="7" spans="1:31" x14ac:dyDescent="0.25">
      <c r="A7">
        <v>6</v>
      </c>
      <c r="B7">
        <v>32</v>
      </c>
      <c r="C7">
        <v>854</v>
      </c>
      <c r="E7" t="s">
        <v>14</v>
      </c>
      <c r="F7">
        <f>1-(1-F6)*(F9-1)/(F9-F13-1)</f>
        <v>0.76606158009454184</v>
      </c>
      <c r="H7" s="4" t="s">
        <v>19</v>
      </c>
      <c r="I7" s="4">
        <f>F9*LN(G14/F9)+(F13+1)*LN(F9)</f>
        <v>181.28215101734108</v>
      </c>
      <c r="N7" t="str">
        <v>D-lower</v>
      </c>
      <c r="O7" s="9">
        <v>1.2014899999999999</v>
      </c>
      <c r="Q7">
        <f t="shared" ref="Q7:Q24" si="9">Q6+1</f>
        <v>3</v>
      </c>
      <c r="R7">
        <f t="shared" si="0"/>
        <v>38</v>
      </c>
      <c r="S7">
        <f t="shared" si="1"/>
        <v>900</v>
      </c>
      <c r="T7">
        <v>901.83648230848507</v>
      </c>
      <c r="U7">
        <f t="shared" si="2"/>
        <v>-1.8364823084850741</v>
      </c>
      <c r="V7">
        <v>8.0298866368945232E-2</v>
      </c>
      <c r="W7">
        <f t="shared" si="3"/>
        <v>-2.1772763596156004E-2</v>
      </c>
      <c r="X7">
        <f t="shared" si="4"/>
        <v>7532.8189771659936</v>
      </c>
      <c r="Y7">
        <f t="shared" si="5"/>
        <v>-2.2064018989826704E-2</v>
      </c>
      <c r="Z7">
        <f t="shared" si="6"/>
        <v>0.98263964049788233</v>
      </c>
      <c r="AA7">
        <f t="shared" si="7"/>
        <v>2.2501583882122966E-5</v>
      </c>
      <c r="AB7">
        <f t="shared" si="8"/>
        <v>-6.5195252062824676E-3</v>
      </c>
      <c r="AD7" t="s">
        <v>49</v>
      </c>
      <c r="AE7" s="9">
        <f>AE5/AE6</f>
        <v>7114.5327636551046</v>
      </c>
    </row>
    <row r="8" spans="1:31" x14ac:dyDescent="0.25">
      <c r="A8">
        <v>7</v>
      </c>
      <c r="B8">
        <v>40</v>
      </c>
      <c r="C8">
        <v>800</v>
      </c>
      <c r="E8" t="s">
        <v>15</v>
      </c>
      <c r="F8">
        <f>SQRT(H14)</f>
        <v>84.347689735138047</v>
      </c>
      <c r="N8" t="str">
        <v>D-upper</v>
      </c>
      <c r="O8" s="9">
        <v>1.41073</v>
      </c>
      <c r="Q8">
        <f t="shared" si="9"/>
        <v>4</v>
      </c>
      <c r="R8">
        <f t="shared" si="0"/>
        <v>15</v>
      </c>
      <c r="S8">
        <f t="shared" si="1"/>
        <v>525</v>
      </c>
      <c r="T8">
        <v>582.20087598763314</v>
      </c>
      <c r="U8">
        <f t="shared" si="2"/>
        <v>-57.20087598763314</v>
      </c>
      <c r="V8">
        <v>0.14153211954654743</v>
      </c>
      <c r="W8">
        <f t="shared" si="3"/>
        <v>-0.67815581158477301</v>
      </c>
      <c r="X8">
        <f t="shared" si="4"/>
        <v>7308.8363536591141</v>
      </c>
      <c r="Y8">
        <f t="shared" si="5"/>
        <v>-0.72213190846599495</v>
      </c>
      <c r="Z8">
        <f t="shared" si="6"/>
        <v>0.47949066169052323</v>
      </c>
      <c r="AA8">
        <f t="shared" si="7"/>
        <v>4.4160693943831597E-2</v>
      </c>
      <c r="AB8">
        <f t="shared" si="8"/>
        <v>-0.29321218569113422</v>
      </c>
      <c r="AD8" t="s">
        <v>50</v>
      </c>
      <c r="AE8" s="11">
        <f>COUNT(B2)</f>
        <v>1</v>
      </c>
    </row>
    <row r="9" spans="1:31" x14ac:dyDescent="0.25">
      <c r="A9">
        <v>8</v>
      </c>
      <c r="B9">
        <v>14</v>
      </c>
      <c r="C9">
        <v>493</v>
      </c>
      <c r="E9" s="4" t="s">
        <v>16</v>
      </c>
      <c r="F9" s="4">
        <f>COUNT(C2:C21)</f>
        <v>20</v>
      </c>
      <c r="N9" t="str">
        <v>sig</v>
      </c>
      <c r="O9" s="10" t="str">
        <v>no</v>
      </c>
      <c r="Q9">
        <f t="shared" si="9"/>
        <v>5</v>
      </c>
      <c r="R9">
        <f t="shared" si="0"/>
        <v>22</v>
      </c>
      <c r="S9">
        <f t="shared" si="1"/>
        <v>710</v>
      </c>
      <c r="T9">
        <v>679.48127791137063</v>
      </c>
      <c r="U9">
        <f t="shared" si="2"/>
        <v>30.518722088629374</v>
      </c>
      <c r="V9">
        <v>7.480247337684634E-2</v>
      </c>
      <c r="W9">
        <f t="shared" si="3"/>
        <v>0.36182048594883714</v>
      </c>
      <c r="X9">
        <f t="shared" si="4"/>
        <v>7473.817295144182</v>
      </c>
      <c r="Y9">
        <f t="shared" si="5"/>
        <v>0.367009980333109</v>
      </c>
      <c r="Z9">
        <f t="shared" si="6"/>
        <v>0.71789071730641396</v>
      </c>
      <c r="AA9">
        <f t="shared" si="7"/>
        <v>5.7200963159791058E-3</v>
      </c>
      <c r="AB9">
        <f t="shared" si="8"/>
        <v>0.10435628785179057</v>
      </c>
    </row>
    <row r="10" spans="1:31" x14ac:dyDescent="0.25">
      <c r="A10">
        <v>9</v>
      </c>
      <c r="B10">
        <v>26</v>
      </c>
      <c r="C10">
        <v>730</v>
      </c>
      <c r="Q10">
        <f t="shared" si="9"/>
        <v>6</v>
      </c>
      <c r="R10">
        <f t="shared" si="0"/>
        <v>32</v>
      </c>
      <c r="S10">
        <f t="shared" si="1"/>
        <v>854</v>
      </c>
      <c r="T10">
        <v>818.4532806595671</v>
      </c>
      <c r="U10">
        <f t="shared" si="2"/>
        <v>35.546719340432901</v>
      </c>
      <c r="V10">
        <v>5.2473376846444431E-2</v>
      </c>
      <c r="W10">
        <f t="shared" si="3"/>
        <v>0.42143085900815919</v>
      </c>
      <c r="X10">
        <f t="shared" si="4"/>
        <v>7454.5908757684201</v>
      </c>
      <c r="Y10">
        <f t="shared" si="5"/>
        <v>0.42295280334131313</v>
      </c>
      <c r="Z10">
        <f t="shared" si="6"/>
        <v>0.67733968641476316</v>
      </c>
      <c r="AA10">
        <f t="shared" si="7"/>
        <v>5.1901372390857807E-3</v>
      </c>
      <c r="AB10">
        <f t="shared" si="8"/>
        <v>9.9532681348799487E-2</v>
      </c>
    </row>
    <row r="11" spans="1:31" ht="15.75" thickBot="1" x14ac:dyDescent="0.3">
      <c r="A11">
        <v>10</v>
      </c>
      <c r="B11">
        <v>32</v>
      </c>
      <c r="C11">
        <v>894</v>
      </c>
      <c r="E11" t="s">
        <v>20</v>
      </c>
      <c r="I11" s="5" t="s">
        <v>21</v>
      </c>
      <c r="J11" s="5">
        <v>0.05</v>
      </c>
      <c r="Q11">
        <f t="shared" si="9"/>
        <v>7</v>
      </c>
      <c r="R11">
        <f t="shared" si="0"/>
        <v>40</v>
      </c>
      <c r="S11">
        <f t="shared" si="1"/>
        <v>800</v>
      </c>
      <c r="T11">
        <v>929.63088285812432</v>
      </c>
      <c r="U11">
        <f t="shared" si="2"/>
        <v>-129.63088285812432</v>
      </c>
      <c r="V11">
        <v>9.6444520783235926E-2</v>
      </c>
      <c r="W11">
        <f t="shared" si="3"/>
        <v>-1.5368634667432035</v>
      </c>
      <c r="X11">
        <f t="shared" si="4"/>
        <v>6439.045042967291</v>
      </c>
      <c r="Y11">
        <f t="shared" si="5"/>
        <v>-1.6994967380489956</v>
      </c>
      <c r="Z11">
        <f t="shared" si="6"/>
        <v>0.10644132522297629</v>
      </c>
      <c r="AA11">
        <f t="shared" si="7"/>
        <v>0.13951101233543067</v>
      </c>
      <c r="AB11">
        <f t="shared" si="8"/>
        <v>-0.55524122432402356</v>
      </c>
    </row>
    <row r="12" spans="1:31" ht="15.75" thickTop="1" x14ac:dyDescent="0.25">
      <c r="A12">
        <v>11</v>
      </c>
      <c r="B12">
        <v>38</v>
      </c>
      <c r="C12">
        <v>940</v>
      </c>
      <c r="E12" s="6"/>
      <c r="F12" s="6" t="s">
        <v>22</v>
      </c>
      <c r="G12" s="6" t="s">
        <v>23</v>
      </c>
      <c r="H12" s="6" t="s">
        <v>24</v>
      </c>
      <c r="I12" s="6" t="s">
        <v>25</v>
      </c>
      <c r="J12" s="6" t="s">
        <v>26</v>
      </c>
      <c r="K12" s="6" t="s">
        <v>27</v>
      </c>
      <c r="Q12">
        <f t="shared" si="9"/>
        <v>8</v>
      </c>
      <c r="R12">
        <f t="shared" si="0"/>
        <v>14</v>
      </c>
      <c r="S12">
        <f t="shared" si="1"/>
        <v>493</v>
      </c>
      <c r="T12">
        <v>568.3036757128134</v>
      </c>
      <c r="U12">
        <f t="shared" si="2"/>
        <v>-75.303675712813401</v>
      </c>
      <c r="V12">
        <v>0.15450017176228081</v>
      </c>
      <c r="W12">
        <f t="shared" si="3"/>
        <v>-0.89277698001303996</v>
      </c>
      <c r="X12">
        <f t="shared" si="4"/>
        <v>7138.5138902996478</v>
      </c>
      <c r="Y12">
        <f t="shared" si="5"/>
        <v>-0.96929396584832161</v>
      </c>
      <c r="Z12">
        <f t="shared" si="6"/>
        <v>0.34524363525391999</v>
      </c>
      <c r="AA12">
        <f t="shared" si="7"/>
        <v>8.6130682914088194E-2</v>
      </c>
      <c r="AB12">
        <f t="shared" si="8"/>
        <v>-0.4143460762713379</v>
      </c>
    </row>
    <row r="13" spans="1:31" x14ac:dyDescent="0.25">
      <c r="A13">
        <v>12</v>
      </c>
      <c r="B13">
        <v>25</v>
      </c>
      <c r="C13">
        <v>733</v>
      </c>
      <c r="E13" t="s">
        <v>28</v>
      </c>
      <c r="F13">
        <f>COUNT(B2)</f>
        <v>1</v>
      </c>
      <c r="G13">
        <f>DEVSQ(MMULT([1]!DESIGN(B2:B21),F18:F19))</f>
        <v>449766.21025420813</v>
      </c>
      <c r="H13">
        <f>G13/F13</f>
        <v>449766.21025420813</v>
      </c>
      <c r="I13">
        <f>H13/H14</f>
        <v>63.217954740732594</v>
      </c>
      <c r="J13">
        <f>FDIST(I13,F13,F14)</f>
        <v>2.6746547373293177E-7</v>
      </c>
      <c r="K13" s="5" t="str">
        <f>IF(J13&lt;J11,"yes","no")</f>
        <v>yes</v>
      </c>
      <c r="Q13">
        <f t="shared" si="9"/>
        <v>9</v>
      </c>
      <c r="R13">
        <f t="shared" si="0"/>
        <v>26</v>
      </c>
      <c r="S13">
        <f t="shared" si="1"/>
        <v>730</v>
      </c>
      <c r="T13">
        <v>735.07007901064924</v>
      </c>
      <c r="U13">
        <f t="shared" si="2"/>
        <v>-5.0700790106492377</v>
      </c>
      <c r="V13">
        <v>5.5565097904500108E-2</v>
      </c>
      <c r="W13">
        <f t="shared" si="3"/>
        <v>-6.0109281316060963E-2</v>
      </c>
      <c r="X13">
        <f t="shared" si="4"/>
        <v>7531.4336276203703</v>
      </c>
      <c r="Y13">
        <f t="shared" si="5"/>
        <v>-6.011597381290365E-2</v>
      </c>
      <c r="Z13">
        <f t="shared" si="6"/>
        <v>0.95272569628217874</v>
      </c>
      <c r="AA13">
        <f t="shared" si="7"/>
        <v>1.1254108622405363E-4</v>
      </c>
      <c r="AB13">
        <f t="shared" si="8"/>
        <v>-1.4581591063358901E-2</v>
      </c>
    </row>
    <row r="14" spans="1:31" x14ac:dyDescent="0.25">
      <c r="A14">
        <v>13</v>
      </c>
      <c r="B14">
        <v>48</v>
      </c>
      <c r="C14">
        <v>985</v>
      </c>
      <c r="E14" t="s">
        <v>29</v>
      </c>
      <c r="F14">
        <f>F15-F13</f>
        <v>18</v>
      </c>
      <c r="G14">
        <f>G15-G13</f>
        <v>128061.58974579204</v>
      </c>
      <c r="H14">
        <f>G14/F14</f>
        <v>7114.5327636551128</v>
      </c>
      <c r="Q14">
        <f t="shared" si="9"/>
        <v>10</v>
      </c>
      <c r="R14">
        <f t="shared" si="0"/>
        <v>32</v>
      </c>
      <c r="S14">
        <f t="shared" si="1"/>
        <v>894</v>
      </c>
      <c r="T14">
        <v>818.4532806595671</v>
      </c>
      <c r="U14">
        <f t="shared" si="2"/>
        <v>75.546719340432901</v>
      </c>
      <c r="V14">
        <v>5.2473376846444431E-2</v>
      </c>
      <c r="W14">
        <f t="shared" si="3"/>
        <v>0.89565842974074072</v>
      </c>
      <c r="X14">
        <f t="shared" si="4"/>
        <v>7178.718599548949</v>
      </c>
      <c r="Y14">
        <f t="shared" si="5"/>
        <v>0.91600202565064326</v>
      </c>
      <c r="Z14">
        <f t="shared" si="6"/>
        <v>0.3717754158202532</v>
      </c>
      <c r="AA14">
        <f t="shared" si="7"/>
        <v>2.3442882482394033E-2</v>
      </c>
      <c r="AB14">
        <f t="shared" si="8"/>
        <v>0.21556102007997929</v>
      </c>
    </row>
    <row r="15" spans="1:31" x14ac:dyDescent="0.25">
      <c r="A15">
        <v>14</v>
      </c>
      <c r="B15">
        <v>28</v>
      </c>
      <c r="C15">
        <v>763</v>
      </c>
      <c r="E15" s="4" t="s">
        <v>30</v>
      </c>
      <c r="F15" s="4">
        <f>F9-1</f>
        <v>19</v>
      </c>
      <c r="G15" s="4">
        <f>DEVSQ(C2:C21)</f>
        <v>577827.80000000016</v>
      </c>
      <c r="H15" s="4"/>
      <c r="I15" s="4"/>
      <c r="J15" s="4"/>
      <c r="K15" s="4"/>
      <c r="Q15">
        <f t="shared" si="9"/>
        <v>11</v>
      </c>
      <c r="R15">
        <f t="shared" si="0"/>
        <v>38</v>
      </c>
      <c r="S15">
        <f t="shared" si="1"/>
        <v>940</v>
      </c>
      <c r="T15">
        <v>901.83648230848507</v>
      </c>
      <c r="U15">
        <f t="shared" si="2"/>
        <v>38.163517691514926</v>
      </c>
      <c r="V15">
        <v>8.0298866368945232E-2</v>
      </c>
      <c r="W15">
        <f t="shared" si="3"/>
        <v>0.45245480713642555</v>
      </c>
      <c r="X15">
        <f t="shared" si="4"/>
        <v>7439.8807668645977</v>
      </c>
      <c r="Y15">
        <f t="shared" si="5"/>
        <v>0.46136224316576951</v>
      </c>
      <c r="Z15">
        <f t="shared" si="6"/>
        <v>0.65006512453318444</v>
      </c>
      <c r="AA15">
        <f t="shared" si="7"/>
        <v>9.7170936508983816E-3</v>
      </c>
      <c r="AB15">
        <f t="shared" si="8"/>
        <v>0.13632433759838239</v>
      </c>
    </row>
    <row r="16" spans="1:31" ht="15.75" thickBot="1" x14ac:dyDescent="0.3">
      <c r="A16">
        <v>15</v>
      </c>
      <c r="B16">
        <v>22</v>
      </c>
      <c r="C16">
        <v>583</v>
      </c>
      <c r="Q16">
        <f t="shared" si="9"/>
        <v>12</v>
      </c>
      <c r="R16">
        <f t="shared" si="0"/>
        <v>25</v>
      </c>
      <c r="S16">
        <f t="shared" si="1"/>
        <v>733</v>
      </c>
      <c r="T16">
        <v>721.17287873582961</v>
      </c>
      <c r="U16">
        <f t="shared" si="2"/>
        <v>11.827121264170387</v>
      </c>
      <c r="V16">
        <v>5.9086224665063428E-2</v>
      </c>
      <c r="W16">
        <f t="shared" si="3"/>
        <v>0.14021867464667953</v>
      </c>
      <c r="X16">
        <f t="shared" si="4"/>
        <v>7524.2897002448335</v>
      </c>
      <c r="Y16">
        <f t="shared" si="5"/>
        <v>0.1405631179563272</v>
      </c>
      <c r="Z16">
        <f t="shared" si="6"/>
        <v>0.88977612451327026</v>
      </c>
      <c r="AA16">
        <f t="shared" si="7"/>
        <v>6.5609738654746268E-4</v>
      </c>
      <c r="AB16">
        <f t="shared" si="8"/>
        <v>3.5224074369975884E-2</v>
      </c>
    </row>
    <row r="17" spans="1:28" ht="15.75" thickTop="1" x14ac:dyDescent="0.25">
      <c r="A17">
        <v>16</v>
      </c>
      <c r="B17">
        <v>45</v>
      </c>
      <c r="C17">
        <v>850</v>
      </c>
      <c r="E17" s="6"/>
      <c r="F17" s="6" t="s">
        <v>31</v>
      </c>
      <c r="G17" s="6" t="s">
        <v>32</v>
      </c>
      <c r="H17" s="6" t="s">
        <v>33</v>
      </c>
      <c r="I17" s="6" t="s">
        <v>26</v>
      </c>
      <c r="J17" s="6" t="s">
        <v>34</v>
      </c>
      <c r="K17" s="6" t="s">
        <v>35</v>
      </c>
      <c r="Q17">
        <f t="shared" si="9"/>
        <v>13</v>
      </c>
      <c r="R17">
        <f t="shared" si="0"/>
        <v>48</v>
      </c>
      <c r="S17">
        <f t="shared" si="1"/>
        <v>985</v>
      </c>
      <c r="T17">
        <v>1040.8084850566815</v>
      </c>
      <c r="U17">
        <f t="shared" si="2"/>
        <v>-55.808485056681548</v>
      </c>
      <c r="V17">
        <v>0.19537959464101673</v>
      </c>
      <c r="W17">
        <f t="shared" si="3"/>
        <v>-0.66164805736739174</v>
      </c>
      <c r="X17">
        <f t="shared" si="4"/>
        <v>7305.3360158344512</v>
      </c>
      <c r="Y17">
        <f t="shared" si="5"/>
        <v>-0.72792161276073841</v>
      </c>
      <c r="Z17">
        <f t="shared" si="6"/>
        <v>0.47602484714121007</v>
      </c>
      <c r="AA17">
        <f t="shared" si="7"/>
        <v>6.6057359184564943E-2</v>
      </c>
      <c r="AB17">
        <f t="shared" si="8"/>
        <v>-0.35869778532087704</v>
      </c>
    </row>
    <row r="18" spans="1:28" x14ac:dyDescent="0.25">
      <c r="A18">
        <v>17</v>
      </c>
      <c r="B18">
        <v>18</v>
      </c>
      <c r="C18">
        <v>798</v>
      </c>
      <c r="E18" t="s">
        <v>36</v>
      </c>
      <c r="F18">
        <f t="array" ref="F18:G19">[1]!RegCoeff(B2:B21,C2:C21)</f>
        <v>373.74287186533837</v>
      </c>
      <c r="G18">
        <v>55.067356795474396</v>
      </c>
      <c r="H18">
        <f>F18/G18</f>
        <v>6.7870130984034027</v>
      </c>
      <c r="I18">
        <f>TDIST(ABS(H18),$F$14,2)</f>
        <v>2.3426810125120125E-6</v>
      </c>
      <c r="J18">
        <f>F18-TINV(J$11,$F$14)*G18</f>
        <v>258.05064827590911</v>
      </c>
      <c r="K18">
        <f>F18+TINV(J$11,$F$14)*G18</f>
        <v>489.43509545476763</v>
      </c>
      <c r="Q18">
        <f t="shared" si="9"/>
        <v>14</v>
      </c>
      <c r="R18">
        <f t="shared" si="0"/>
        <v>28</v>
      </c>
      <c r="S18">
        <f t="shared" si="1"/>
        <v>763</v>
      </c>
      <c r="T18">
        <v>762.8644795602886</v>
      </c>
      <c r="U18">
        <f t="shared" si="2"/>
        <v>0.13552043971139938</v>
      </c>
      <c r="V18">
        <v>5.109927859841968E-2</v>
      </c>
      <c r="W18">
        <f t="shared" si="3"/>
        <v>1.6066882227237049E-3</v>
      </c>
      <c r="X18">
        <f t="shared" si="4"/>
        <v>7533.0335524109214</v>
      </c>
      <c r="Y18">
        <f t="shared" si="5"/>
        <v>1.6029111975975861E-3</v>
      </c>
      <c r="Z18">
        <f t="shared" si="6"/>
        <v>0.99873869373879098</v>
      </c>
      <c r="AA18">
        <f t="shared" si="7"/>
        <v>7.3249799484598107E-8</v>
      </c>
      <c r="AB18">
        <f t="shared" si="8"/>
        <v>3.7196875308442807E-4</v>
      </c>
    </row>
    <row r="19" spans="1:28" x14ac:dyDescent="0.25">
      <c r="A19">
        <v>18</v>
      </c>
      <c r="B19">
        <v>24</v>
      </c>
      <c r="C19">
        <v>754</v>
      </c>
      <c r="E19" s="4" t="str">
        <f t="array" ref="E19">TRANSPOSE(B1)</f>
        <v>Conhecimento</v>
      </c>
      <c r="F19" s="4">
        <v>13.897200274819649</v>
      </c>
      <c r="G19" s="4">
        <v>1.7478618193071147</v>
      </c>
      <c r="H19" s="4">
        <f>F19/G19</f>
        <v>7.9509719368598377</v>
      </c>
      <c r="I19" s="4">
        <f>TDIST(ABS(H19),$F$14,2)</f>
        <v>2.6746547373292839E-7</v>
      </c>
      <c r="J19" s="4">
        <f>F19-TINV(J$11,$F$14)*G19</f>
        <v>10.225078855341534</v>
      </c>
      <c r="K19" s="4">
        <f>F19+TINV(J$11,$F$14)*G19</f>
        <v>17.569321694297766</v>
      </c>
      <c r="Q19">
        <f t="shared" si="9"/>
        <v>15</v>
      </c>
      <c r="R19">
        <f t="shared" si="0"/>
        <v>22</v>
      </c>
      <c r="S19">
        <f t="shared" si="1"/>
        <v>583</v>
      </c>
      <c r="T19">
        <v>679.48127791137063</v>
      </c>
      <c r="U19">
        <f t="shared" si="2"/>
        <v>-96.481277911370626</v>
      </c>
      <c r="V19">
        <v>7.480247337684634E-2</v>
      </c>
      <c r="W19">
        <f t="shared" si="3"/>
        <v>-1.1438520511271093</v>
      </c>
      <c r="X19">
        <f t="shared" si="4"/>
        <v>6941.1968769964169</v>
      </c>
      <c r="Y19">
        <f t="shared" si="5"/>
        <v>-1.2039505078201671</v>
      </c>
      <c r="Z19">
        <f t="shared" si="6"/>
        <v>0.24420289163816908</v>
      </c>
      <c r="AA19">
        <f t="shared" si="7"/>
        <v>5.7168493383901918E-2</v>
      </c>
      <c r="AB19">
        <f t="shared" si="8"/>
        <v>-0.34233348542553649</v>
      </c>
    </row>
    <row r="20" spans="1:28" x14ac:dyDescent="0.25">
      <c r="A20">
        <v>19</v>
      </c>
      <c r="B20">
        <v>30</v>
      </c>
      <c r="C20">
        <v>805</v>
      </c>
      <c r="Q20">
        <f t="shared" si="9"/>
        <v>16</v>
      </c>
      <c r="R20">
        <f t="shared" si="0"/>
        <v>45</v>
      </c>
      <c r="S20">
        <f t="shared" si="1"/>
        <v>850</v>
      </c>
      <c r="T20">
        <v>999.11688423222267</v>
      </c>
      <c r="U20">
        <f t="shared" si="2"/>
        <v>-149.11688423222267</v>
      </c>
      <c r="V20">
        <v>0.15183785640673286</v>
      </c>
      <c r="W20">
        <f t="shared" si="3"/>
        <v>-1.7678834441164637</v>
      </c>
      <c r="X20">
        <f t="shared" si="4"/>
        <v>5990.887470814574</v>
      </c>
      <c r="Y20">
        <f t="shared" si="5"/>
        <v>-2.0919042260741469</v>
      </c>
      <c r="Z20">
        <f t="shared" si="6"/>
        <v>5.0890593872182623E-2</v>
      </c>
      <c r="AA20">
        <f t="shared" si="7"/>
        <v>0.32983714052853397</v>
      </c>
      <c r="AB20">
        <f t="shared" si="8"/>
        <v>-0.88510009425691916</v>
      </c>
    </row>
    <row r="21" spans="1:28" x14ac:dyDescent="0.25">
      <c r="A21">
        <v>20</v>
      </c>
      <c r="B21">
        <v>43</v>
      </c>
      <c r="C21">
        <v>1085</v>
      </c>
      <c r="Q21">
        <f t="shared" si="9"/>
        <v>17</v>
      </c>
      <c r="R21">
        <f t="shared" si="0"/>
        <v>18</v>
      </c>
      <c r="S21">
        <f t="shared" si="1"/>
        <v>798</v>
      </c>
      <c r="T21">
        <v>623.89247681209213</v>
      </c>
      <c r="U21">
        <f t="shared" si="2"/>
        <v>174.10752318790787</v>
      </c>
      <c r="V21">
        <v>0.10778083132943993</v>
      </c>
      <c r="W21">
        <f t="shared" si="3"/>
        <v>2.064164694191704</v>
      </c>
      <c r="X21">
        <f t="shared" si="4"/>
        <v>5534.4865964000437</v>
      </c>
      <c r="Y21">
        <f t="shared" si="5"/>
        <v>2.4776678907400189</v>
      </c>
      <c r="Z21">
        <f t="shared" si="6"/>
        <v>2.3366512557693848E-2</v>
      </c>
      <c r="AA21">
        <f t="shared" si="7"/>
        <v>0.28844108826626064</v>
      </c>
      <c r="AB21">
        <f t="shared" si="8"/>
        <v>0.86114856538193429</v>
      </c>
    </row>
    <row r="22" spans="1:28" x14ac:dyDescent="0.25">
      <c r="Q22">
        <f t="shared" si="9"/>
        <v>18</v>
      </c>
      <c r="R22">
        <f t="shared" si="0"/>
        <v>24</v>
      </c>
      <c r="S22">
        <f t="shared" si="1"/>
        <v>754</v>
      </c>
      <c r="T22">
        <v>707.27567846100987</v>
      </c>
      <c r="U22">
        <f t="shared" si="2"/>
        <v>46.724321538990125</v>
      </c>
      <c r="V22">
        <v>6.3466162830642311E-2</v>
      </c>
      <c r="W22">
        <f t="shared" si="3"/>
        <v>0.55394903743908308</v>
      </c>
      <c r="X22">
        <f t="shared" si="4"/>
        <v>7395.9106467621468</v>
      </c>
      <c r="Y22">
        <f t="shared" si="5"/>
        <v>0.56141684535993353</v>
      </c>
      <c r="Z22">
        <f t="shared" si="6"/>
        <v>0.5814365841524114</v>
      </c>
      <c r="AA22">
        <f t="shared" si="7"/>
        <v>1.1102094604982966E-2</v>
      </c>
      <c r="AB22">
        <f t="shared" si="8"/>
        <v>0.14614865528902618</v>
      </c>
    </row>
    <row r="23" spans="1:28" x14ac:dyDescent="0.25">
      <c r="Q23">
        <f t="shared" si="9"/>
        <v>19</v>
      </c>
      <c r="R23">
        <f t="shared" si="0"/>
        <v>30</v>
      </c>
      <c r="S23">
        <f t="shared" si="1"/>
        <v>805</v>
      </c>
      <c r="T23">
        <v>790.65888010992785</v>
      </c>
      <c r="U23">
        <f t="shared" si="2"/>
        <v>14.34111989007215</v>
      </c>
      <c r="V23">
        <v>5.0068704912401139E-2</v>
      </c>
      <c r="W23">
        <f t="shared" si="3"/>
        <v>0.17002386117634055</v>
      </c>
      <c r="X23">
        <f t="shared" si="4"/>
        <v>7520.298926541057</v>
      </c>
      <c r="Y23">
        <f t="shared" si="5"/>
        <v>0.16967560905396484</v>
      </c>
      <c r="Z23">
        <f t="shared" si="6"/>
        <v>0.86715764822829733</v>
      </c>
      <c r="AA23">
        <f t="shared" si="7"/>
        <v>8.0199511030765495E-4</v>
      </c>
      <c r="AB23">
        <f t="shared" si="8"/>
        <v>3.895439807422648E-2</v>
      </c>
    </row>
    <row r="24" spans="1:28" x14ac:dyDescent="0.25">
      <c r="Q24" s="4">
        <f t="shared" si="9"/>
        <v>20</v>
      </c>
      <c r="R24" s="4">
        <f t="shared" si="0"/>
        <v>43</v>
      </c>
      <c r="S24" s="4">
        <f t="shared" si="1"/>
        <v>1085</v>
      </c>
      <c r="T24" s="4">
        <v>971.3224836825832</v>
      </c>
      <c r="U24" s="4">
        <f t="shared" si="2"/>
        <v>113.6775163174168</v>
      </c>
      <c r="V24" s="4">
        <v>0.12710408794228778</v>
      </c>
      <c r="W24" s="4">
        <f t="shared" si="3"/>
        <v>1.3477253102530493</v>
      </c>
      <c r="X24" s="4">
        <f t="shared" si="4"/>
        <v>6662.1958888927493</v>
      </c>
      <c r="Y24" s="4">
        <f t="shared" si="5"/>
        <v>1.4906807646270601</v>
      </c>
      <c r="Z24" s="4">
        <f t="shared" si="6"/>
        <v>0.15336140772852813</v>
      </c>
      <c r="AA24" s="4">
        <f t="shared" si="7"/>
        <v>0.15149816506023397</v>
      </c>
      <c r="AB24" s="4">
        <f t="shared" si="8"/>
        <v>0.56883089593854796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2018-06-18T09:29:48Z</dcterms:created>
  <dcterms:modified xsi:type="dcterms:W3CDTF">2018-07-05T21:19:22Z</dcterms:modified>
</cp:coreProperties>
</file>